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f1" sheetId="1" r:id="rId1"/>
    <sheet name="pepita" sheetId="2" r:id="rId2"/>
  </sheets>
  <definedNames/>
  <calcPr fullCalcOnLoad="1"/>
</workbook>
</file>

<file path=xl/sharedStrings.xml><?xml version="1.0" encoding="utf-8"?>
<sst xmlns="http://schemas.openxmlformats.org/spreadsheetml/2006/main" count="146" uniqueCount="91">
  <si>
    <t>Magyar Nagydíj</t>
  </si>
  <si>
    <t>Hungaroring</t>
  </si>
  <si>
    <t>Körök száma:</t>
  </si>
  <si>
    <t>Pályahossz:</t>
  </si>
  <si>
    <t>Versenytáv:</t>
  </si>
  <si>
    <t>Vezető</t>
  </si>
  <si>
    <t>Versenyautó</t>
  </si>
  <si>
    <t>Teljesített kör</t>
  </si>
  <si>
    <t>Versenyidő</t>
  </si>
  <si>
    <t>Lemaradás</t>
  </si>
  <si>
    <t>helyezés</t>
  </si>
  <si>
    <t>pontszám</t>
  </si>
  <si>
    <t>rajtszám</t>
  </si>
  <si>
    <t>név</t>
  </si>
  <si>
    <t>ország</t>
  </si>
  <si>
    <t>csapat</t>
  </si>
  <si>
    <t>modell</t>
  </si>
  <si>
    <t>motor</t>
  </si>
  <si>
    <t>óra</t>
  </si>
  <si>
    <t>perc</t>
  </si>
  <si>
    <t>másodperc</t>
  </si>
  <si>
    <t>ezredmásodperc</t>
  </si>
  <si>
    <t>órában</t>
  </si>
  <si>
    <t>idő</t>
  </si>
  <si>
    <t>távolság</t>
  </si>
  <si>
    <t>Lewis Hamilton</t>
  </si>
  <si>
    <t>GBR</t>
  </si>
  <si>
    <t>Mercedes WO4</t>
  </si>
  <si>
    <t>Mercedes FO108Z</t>
  </si>
  <si>
    <t xml:space="preserve">  </t>
  </si>
  <si>
    <t>Kimi Raikkönen</t>
  </si>
  <si>
    <t>FIN</t>
  </si>
  <si>
    <t>Lotus E21</t>
  </si>
  <si>
    <t>Renault RS27-2013</t>
  </si>
  <si>
    <t>Sebastian Vettel</t>
  </si>
  <si>
    <t>GER</t>
  </si>
  <si>
    <t>Red Bull RB9</t>
  </si>
  <si>
    <t>Mark Webber</t>
  </si>
  <si>
    <t>AUS</t>
  </si>
  <si>
    <t>Fernando Alonso</t>
  </si>
  <si>
    <t>ESP</t>
  </si>
  <si>
    <t>Ferrari F138</t>
  </si>
  <si>
    <t>Ferrari 056</t>
  </si>
  <si>
    <t>Romain Grosjean</t>
  </si>
  <si>
    <t>FRA</t>
  </si>
  <si>
    <t>Jenson Button</t>
  </si>
  <si>
    <t>McLaren MP4-28</t>
  </si>
  <si>
    <t>Felipe Massa</t>
  </si>
  <si>
    <t>BRA</t>
  </si>
  <si>
    <t>Sergio Perez</t>
  </si>
  <si>
    <t>MEX</t>
  </si>
  <si>
    <t>Pastor Maldonado</t>
  </si>
  <si>
    <t>VEN</t>
  </si>
  <si>
    <t>Williams FW35</t>
  </si>
  <si>
    <t xml:space="preserve"> </t>
  </si>
  <si>
    <t>Nico Hülkenberg</t>
  </si>
  <si>
    <t>Sauber C32</t>
  </si>
  <si>
    <t>Jean-Eric Vergne</t>
  </si>
  <si>
    <t>Toro Rosso STR8</t>
  </si>
  <si>
    <t>Daniel Ricciardo</t>
  </si>
  <si>
    <t>Giedo van der Garde</t>
  </si>
  <si>
    <t>NED</t>
  </si>
  <si>
    <t>Caterham CT03</t>
  </si>
  <si>
    <t>Charles Pic</t>
  </si>
  <si>
    <t>Jules Bianchi</t>
  </si>
  <si>
    <t>Marussia MR02</t>
  </si>
  <si>
    <t>Cosworth CA2013</t>
  </si>
  <si>
    <t>Max Chilton</t>
  </si>
  <si>
    <t>Paul di Resta</t>
  </si>
  <si>
    <t>Force India VJM06</t>
  </si>
  <si>
    <t>Nico Rosberg</t>
  </si>
  <si>
    <t>Kiesett</t>
  </si>
  <si>
    <t>Valtteri Bottas</t>
  </si>
  <si>
    <t>Esteban Gutiérrez</t>
  </si>
  <si>
    <t>Adrian Sutil</t>
  </si>
  <si>
    <t>Dobogósok átlagsebessége</t>
  </si>
  <si>
    <t>Legtöbb</t>
  </si>
  <si>
    <t>Helyezés</t>
  </si>
  <si>
    <t>Csapateredmény</t>
  </si>
  <si>
    <t>országjel</t>
  </si>
  <si>
    <t>db</t>
  </si>
  <si>
    <t>szóközök</t>
  </si>
  <si>
    <t>száma</t>
  </si>
  <si>
    <t>utolsó szk</t>
  </si>
  <si>
    <t>"@"-ra csere</t>
  </si>
  <si>
    <t>véglevágás</t>
  </si>
  <si>
    <t>csapaton</t>
  </si>
  <si>
    <t>belüli sr</t>
  </si>
  <si>
    <t>csapattárs</t>
  </si>
  <si>
    <t>Csapatpontszámok</t>
  </si>
  <si>
    <t>ábécérend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</si>
</sst>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&quot; h&quot;"/>
    <numFmt numFmtId="165" formatCode="General&quot; s&quot;"/>
    <numFmt numFmtId="166" formatCode="General&quot; m&quot;"/>
    <numFmt numFmtId="167" formatCode="General&quot; km/h&quot;"/>
  </numFmts>
  <fonts count="4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0000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2.8515625" style="0" customWidth="1"/>
    <col min="2" max="2" width="16.421875" style="0" bestFit="1" customWidth="1"/>
    <col min="3" max="3" width="8.140625" style="0" bestFit="1" customWidth="1"/>
    <col min="4" max="4" width="18.140625" style="0" bestFit="1" customWidth="1"/>
    <col min="5" max="5" width="6.57421875" style="0" bestFit="1" customWidth="1"/>
    <col min="6" max="6" width="10.421875" style="0" bestFit="1" customWidth="1"/>
    <col min="7" max="7" width="16.57421875" style="0" bestFit="1" customWidth="1"/>
    <col min="8" max="8" width="17.28125" style="0" bestFit="1" customWidth="1"/>
    <col min="12" max="12" width="11.7109375" style="0" customWidth="1"/>
    <col min="13" max="13" width="15.00390625" style="0" customWidth="1"/>
    <col min="14" max="14" width="10.8515625" style="0" bestFit="1" customWidth="1"/>
    <col min="15" max="15" width="10.140625" style="0" bestFit="1" customWidth="1"/>
    <col min="21" max="21" width="18.00390625" style="0" bestFit="1" customWidth="1"/>
    <col min="22" max="22" width="10.57421875" style="0" customWidth="1"/>
    <col min="23" max="23" width="11.421875" style="0" bestFit="1" customWidth="1"/>
    <col min="24" max="24" width="18.140625" style="0" bestFit="1" customWidth="1"/>
    <col min="25" max="25" width="10.7109375" style="0" customWidth="1"/>
  </cols>
  <sheetData>
    <row r="1" spans="1:16" ht="37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 t="s">
        <v>1</v>
      </c>
      <c r="N1" s="12"/>
      <c r="O1" s="13">
        <v>41483</v>
      </c>
      <c r="P1" s="13"/>
    </row>
    <row r="2" spans="1:2" ht="12.75">
      <c r="A2" s="2" t="s">
        <v>2</v>
      </c>
      <c r="B2" s="3">
        <v>70</v>
      </c>
    </row>
    <row r="3" spans="1:2" ht="12.75">
      <c r="A3" s="2" t="s">
        <v>3</v>
      </c>
      <c r="B3" s="3">
        <v>4381</v>
      </c>
    </row>
    <row r="4" spans="1:2" ht="12.75">
      <c r="A4" s="4" t="s">
        <v>4</v>
      </c>
      <c r="B4" s="5">
        <v>306.67</v>
      </c>
    </row>
    <row r="5" spans="1:25" ht="12.75">
      <c r="A5" s="14" t="s">
        <v>5</v>
      </c>
      <c r="B5" s="14"/>
      <c r="C5" s="14"/>
      <c r="D5" s="14"/>
      <c r="E5" s="14"/>
      <c r="F5" s="14"/>
      <c r="G5" s="14" t="s">
        <v>6</v>
      </c>
      <c r="H5" s="14"/>
      <c r="I5" s="15" t="s">
        <v>7</v>
      </c>
      <c r="J5" s="14" t="s">
        <v>8</v>
      </c>
      <c r="K5" s="14"/>
      <c r="L5" s="14"/>
      <c r="M5" s="14"/>
      <c r="N5" s="14"/>
      <c r="O5" s="14" t="s">
        <v>9</v>
      </c>
      <c r="P5" s="14"/>
      <c r="S5" s="1" t="s">
        <v>79</v>
      </c>
      <c r="T5" s="1" t="s">
        <v>81</v>
      </c>
      <c r="U5" s="1" t="s">
        <v>83</v>
      </c>
      <c r="V5" s="1" t="s">
        <v>85</v>
      </c>
      <c r="W5" s="1" t="s">
        <v>86</v>
      </c>
      <c r="X5" s="1" t="s">
        <v>88</v>
      </c>
      <c r="Y5" s="1" t="s">
        <v>15</v>
      </c>
    </row>
    <row r="6" spans="1:25" ht="12.75">
      <c r="A6" s="6" t="s">
        <v>10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15"/>
      <c r="J6" s="6" t="s">
        <v>18</v>
      </c>
      <c r="K6" s="6" t="s">
        <v>19</v>
      </c>
      <c r="L6" s="6" t="s">
        <v>20</v>
      </c>
      <c r="M6" s="6" t="s">
        <v>21</v>
      </c>
      <c r="N6" s="6" t="s">
        <v>22</v>
      </c>
      <c r="O6" s="6" t="s">
        <v>23</v>
      </c>
      <c r="P6" s="6" t="s">
        <v>24</v>
      </c>
      <c r="S6" s="1" t="s">
        <v>80</v>
      </c>
      <c r="T6" s="1" t="s">
        <v>82</v>
      </c>
      <c r="U6" s="1" t="s">
        <v>84</v>
      </c>
      <c r="V6" s="1"/>
      <c r="W6" s="1" t="s">
        <v>87</v>
      </c>
      <c r="X6" s="1"/>
      <c r="Y6" s="1" t="s">
        <v>90</v>
      </c>
    </row>
    <row r="7" spans="1:25" ht="12.75">
      <c r="A7">
        <v>1</v>
      </c>
      <c r="B7">
        <v>25</v>
      </c>
      <c r="C7">
        <v>10</v>
      </c>
      <c r="D7" t="s">
        <v>25</v>
      </c>
      <c r="E7" t="s">
        <v>26</v>
      </c>
      <c r="F7" t="str">
        <f>V7</f>
        <v>Mercedes</v>
      </c>
      <c r="G7" t="s">
        <v>27</v>
      </c>
      <c r="H7" t="s">
        <v>28</v>
      </c>
      <c r="I7">
        <v>70</v>
      </c>
      <c r="J7">
        <v>1</v>
      </c>
      <c r="K7">
        <v>42</v>
      </c>
      <c r="L7">
        <v>29</v>
      </c>
      <c r="M7">
        <v>445</v>
      </c>
      <c r="N7" s="7">
        <f>IF(I7=$B$2,J7+K7/60+L7/3600+M7/3600000,"")</f>
        <v>1.7081791666666666</v>
      </c>
      <c r="S7">
        <f>COUNTIF($E$7:$E28,E7)</f>
        <v>4</v>
      </c>
      <c r="T7">
        <f>LEN(G7)-LEN(SUBSTITUTE(G7," ",""))</f>
        <v>1</v>
      </c>
      <c r="U7" t="str">
        <f>SUBSTITUTE(G7," ","@",T7)</f>
        <v>Mercedes@WO4</v>
      </c>
      <c r="V7" t="str">
        <f>LEFT(U7,SEARCH("@",U7,1)-1)</f>
        <v>Mercedes</v>
      </c>
      <c r="W7" t="str">
        <f>CONCATENATE(V7,COUNTIF($V$7:V7,V7))</f>
        <v>Mercedes1</v>
      </c>
      <c r="X7" t="str">
        <f>IF(RIGHT(W7,1)="1",INDEX($D$7:$D$28,MATCH(CONCATENATE(V7,"2"),$W$7:$W$28,0)),INDEX($D$7:$D$28,MATCH(CONCATENATE(V7,"1"),$W$7:$W$28,0)))</f>
        <v>Nico Rosberg</v>
      </c>
      <c r="Y7">
        <f>1+COUNTIF($V$7:$V$28,CONCATENATE("&lt;",V7))/2</f>
        <v>7</v>
      </c>
    </row>
    <row r="8" spans="1:25" ht="12.75">
      <c r="A8">
        <v>2</v>
      </c>
      <c r="B8">
        <v>18</v>
      </c>
      <c r="C8">
        <v>7</v>
      </c>
      <c r="D8" t="s">
        <v>30</v>
      </c>
      <c r="E8" t="s">
        <v>31</v>
      </c>
      <c r="F8" t="str">
        <f aca="true" t="shared" si="0" ref="F8:F28">V8</f>
        <v>Lotus</v>
      </c>
      <c r="G8" t="s">
        <v>32</v>
      </c>
      <c r="H8" t="s">
        <v>33</v>
      </c>
      <c r="I8">
        <v>70</v>
      </c>
      <c r="J8">
        <v>1</v>
      </c>
      <c r="K8">
        <v>42</v>
      </c>
      <c r="L8">
        <v>40</v>
      </c>
      <c r="M8">
        <v>383</v>
      </c>
      <c r="N8" s="7">
        <f aca="true" t="shared" si="1" ref="N8:N28">IF(I8=$B$2,J8+K8/60+L8/3600+M8/3600000,"")</f>
        <v>1.7112174999999998</v>
      </c>
      <c r="O8" s="8">
        <f>IF(I8=$B$2,3600*(N8-$N$7),"")</f>
        <v>10.937999999999715</v>
      </c>
      <c r="P8" s="9">
        <f>IF(I8=$B$2,$B$4/N8/3.6*O8,"")</f>
        <v>544.5045316175817</v>
      </c>
      <c r="S8">
        <f>COUNTIF($E$7:$E29,E8)</f>
        <v>2</v>
      </c>
      <c r="T8">
        <f aca="true" t="shared" si="2" ref="T8:T28">LEN(G8)-LEN(SUBSTITUTE(G8," ",""))</f>
        <v>1</v>
      </c>
      <c r="U8" t="str">
        <f aca="true" t="shared" si="3" ref="U8:U28">SUBSTITUTE(G8," ","@",T8)</f>
        <v>Lotus@E21</v>
      </c>
      <c r="V8" t="str">
        <f aca="true" t="shared" si="4" ref="V8:V28">LEFT(U8,SEARCH("@",U8,1)-1)</f>
        <v>Lotus</v>
      </c>
      <c r="W8" t="str">
        <f>CONCATENATE(V8,COUNTIF($V$7:V8,V8))</f>
        <v>Lotus1</v>
      </c>
      <c r="X8" t="str">
        <f aca="true" t="shared" si="5" ref="X8:X28">IF(RIGHT(W8,1)="1",INDEX($D$7:$D$28,MATCH(CONCATENATE(V8,"2"),$W$7:$W$28,0)),INDEX($D$7:$D$28,MATCH(CONCATENATE(V8,"1"),$W$7:$W$28,0)))</f>
        <v>Romain Grosjean</v>
      </c>
      <c r="Y8">
        <f aca="true" t="shared" si="6" ref="Y8:Y28">1+COUNTIF($V$7:$V$28,CONCATENATE("&lt;",V8))/2</f>
        <v>4</v>
      </c>
    </row>
    <row r="9" spans="1:25" ht="12.75">
      <c r="A9">
        <v>3</v>
      </c>
      <c r="B9">
        <v>15</v>
      </c>
      <c r="C9">
        <v>1</v>
      </c>
      <c r="D9" t="s">
        <v>34</v>
      </c>
      <c r="E9" t="s">
        <v>35</v>
      </c>
      <c r="F9" t="str">
        <f t="shared" si="0"/>
        <v>Red Bull</v>
      </c>
      <c r="G9" t="s">
        <v>36</v>
      </c>
      <c r="H9" t="s">
        <v>33</v>
      </c>
      <c r="I9">
        <v>70</v>
      </c>
      <c r="J9">
        <v>1</v>
      </c>
      <c r="K9">
        <v>42</v>
      </c>
      <c r="L9">
        <v>41</v>
      </c>
      <c r="M9">
        <v>904</v>
      </c>
      <c r="N9" s="7">
        <f t="shared" si="1"/>
        <v>1.71164</v>
      </c>
      <c r="O9" s="8">
        <f aca="true" t="shared" si="7" ref="O9:O28">IF(I9=$B$2,3600*(N9-$N$7),"")</f>
        <v>12.459000000000486</v>
      </c>
      <c r="P9" s="9">
        <f aca="true" t="shared" si="8" ref="P9:P28">IF(I9=$B$2,$B$4/N9/3.6*O9,"")</f>
        <v>620.0683311522134</v>
      </c>
      <c r="S9">
        <f>COUNTIF($E$7:$E30,E9)</f>
        <v>4</v>
      </c>
      <c r="T9">
        <f t="shared" si="2"/>
        <v>2</v>
      </c>
      <c r="U9" t="str">
        <f t="shared" si="3"/>
        <v>Red Bull@RB9</v>
      </c>
      <c r="V9" t="str">
        <f t="shared" si="4"/>
        <v>Red Bull</v>
      </c>
      <c r="W9" t="str">
        <f>CONCATENATE(V9,COUNTIF($V$7:V9,V9))</f>
        <v>Red Bull1</v>
      </c>
      <c r="X9" t="str">
        <f t="shared" si="5"/>
        <v>Mark Webber</v>
      </c>
      <c r="Y9">
        <f t="shared" si="6"/>
        <v>8</v>
      </c>
    </row>
    <row r="10" spans="1:25" ht="12.75">
      <c r="A10">
        <v>4</v>
      </c>
      <c r="B10">
        <v>12</v>
      </c>
      <c r="C10">
        <v>2</v>
      </c>
      <c r="D10" t="s">
        <v>37</v>
      </c>
      <c r="E10" t="s">
        <v>38</v>
      </c>
      <c r="F10" t="str">
        <f t="shared" si="0"/>
        <v>Red Bull</v>
      </c>
      <c r="G10" t="s">
        <v>36</v>
      </c>
      <c r="H10" t="s">
        <v>33</v>
      </c>
      <c r="I10">
        <v>70</v>
      </c>
      <c r="J10">
        <v>1</v>
      </c>
      <c r="K10">
        <v>42</v>
      </c>
      <c r="L10">
        <v>47</v>
      </c>
      <c r="M10">
        <v>489</v>
      </c>
      <c r="N10" s="7">
        <f t="shared" si="1"/>
        <v>1.7131913888888888</v>
      </c>
      <c r="O10" s="8">
        <f t="shared" si="7"/>
        <v>18.043999999999905</v>
      </c>
      <c r="P10" s="9">
        <f t="shared" si="8"/>
        <v>897.2133521437933</v>
      </c>
      <c r="S10">
        <f>COUNTIF($E$7:$E31,E10)</f>
        <v>2</v>
      </c>
      <c r="T10">
        <f t="shared" si="2"/>
        <v>2</v>
      </c>
      <c r="U10" t="str">
        <f t="shared" si="3"/>
        <v>Red Bull@RB9</v>
      </c>
      <c r="V10" t="str">
        <f t="shared" si="4"/>
        <v>Red Bull</v>
      </c>
      <c r="W10" t="str">
        <f>CONCATENATE(V10,COUNTIF($V$7:V10,V10))</f>
        <v>Red Bull2</v>
      </c>
      <c r="X10" t="str">
        <f t="shared" si="5"/>
        <v>Sebastian Vettel</v>
      </c>
      <c r="Y10">
        <f t="shared" si="6"/>
        <v>8</v>
      </c>
    </row>
    <row r="11" spans="1:25" ht="12.75">
      <c r="A11">
        <v>5</v>
      </c>
      <c r="B11">
        <v>10</v>
      </c>
      <c r="C11">
        <v>3</v>
      </c>
      <c r="D11" t="s">
        <v>39</v>
      </c>
      <c r="E11" t="s">
        <v>40</v>
      </c>
      <c r="F11" t="str">
        <f t="shared" si="0"/>
        <v>Ferrari</v>
      </c>
      <c r="G11" t="s">
        <v>41</v>
      </c>
      <c r="H11" t="s">
        <v>42</v>
      </c>
      <c r="I11">
        <v>70</v>
      </c>
      <c r="J11">
        <v>1</v>
      </c>
      <c r="K11">
        <v>43</v>
      </c>
      <c r="L11">
        <v>0</v>
      </c>
      <c r="M11">
        <v>856</v>
      </c>
      <c r="N11" s="7">
        <f t="shared" si="1"/>
        <v>1.7169044444444446</v>
      </c>
      <c r="O11" s="8">
        <f t="shared" si="7"/>
        <v>31.411000000000744</v>
      </c>
      <c r="P11" s="9">
        <f t="shared" si="8"/>
        <v>1558.4914727021996</v>
      </c>
      <c r="S11">
        <f>COUNTIF($E$7:$E32,E11)</f>
        <v>1</v>
      </c>
      <c r="T11">
        <f t="shared" si="2"/>
        <v>1</v>
      </c>
      <c r="U11" t="str">
        <f t="shared" si="3"/>
        <v>Ferrari@F138</v>
      </c>
      <c r="V11" t="str">
        <f t="shared" si="4"/>
        <v>Ferrari</v>
      </c>
      <c r="W11" t="str">
        <f>CONCATENATE(V11,COUNTIF($V$7:V11,V11))</f>
        <v>Ferrari1</v>
      </c>
      <c r="X11" t="str">
        <f t="shared" si="5"/>
        <v>Felipe Massa</v>
      </c>
      <c r="Y11">
        <f t="shared" si="6"/>
        <v>2</v>
      </c>
    </row>
    <row r="12" spans="1:25" ht="12.75">
      <c r="A12">
        <v>6</v>
      </c>
      <c r="B12">
        <v>8</v>
      </c>
      <c r="C12">
        <v>8</v>
      </c>
      <c r="D12" t="s">
        <v>43</v>
      </c>
      <c r="E12" t="s">
        <v>44</v>
      </c>
      <c r="F12" t="str">
        <f t="shared" si="0"/>
        <v>Lotus</v>
      </c>
      <c r="G12" t="s">
        <v>32</v>
      </c>
      <c r="H12" t="s">
        <v>33</v>
      </c>
      <c r="I12">
        <v>70</v>
      </c>
      <c r="J12">
        <v>1</v>
      </c>
      <c r="K12">
        <v>43</v>
      </c>
      <c r="L12">
        <v>21</v>
      </c>
      <c r="M12">
        <v>740</v>
      </c>
      <c r="N12" s="7">
        <f t="shared" si="1"/>
        <v>1.7227055555555557</v>
      </c>
      <c r="O12" s="8">
        <f t="shared" si="7"/>
        <v>52.29500000000087</v>
      </c>
      <c r="P12" s="9">
        <f t="shared" si="8"/>
        <v>2585.93679354508</v>
      </c>
      <c r="S12">
        <f>COUNTIF($E$7:$E33,E12)</f>
        <v>4</v>
      </c>
      <c r="T12">
        <f t="shared" si="2"/>
        <v>1</v>
      </c>
      <c r="U12" t="str">
        <f t="shared" si="3"/>
        <v>Lotus@E21</v>
      </c>
      <c r="V12" t="str">
        <f t="shared" si="4"/>
        <v>Lotus</v>
      </c>
      <c r="W12" t="str">
        <f>CONCATENATE(V12,COUNTIF($V$7:V12,V12))</f>
        <v>Lotus2</v>
      </c>
      <c r="X12" t="str">
        <f t="shared" si="5"/>
        <v>Kimi Raikkönen</v>
      </c>
      <c r="Y12">
        <f t="shared" si="6"/>
        <v>4</v>
      </c>
    </row>
    <row r="13" spans="1:25" ht="12.75">
      <c r="A13">
        <v>7</v>
      </c>
      <c r="B13">
        <v>6</v>
      </c>
      <c r="C13">
        <v>5</v>
      </c>
      <c r="D13" t="s">
        <v>45</v>
      </c>
      <c r="E13" t="s">
        <v>26</v>
      </c>
      <c r="F13" t="str">
        <f t="shared" si="0"/>
        <v>McLaren</v>
      </c>
      <c r="G13" t="s">
        <v>46</v>
      </c>
      <c r="H13" t="s">
        <v>28</v>
      </c>
      <c r="I13">
        <v>70</v>
      </c>
      <c r="J13">
        <v>1</v>
      </c>
      <c r="K13">
        <v>43</v>
      </c>
      <c r="L13">
        <v>23</v>
      </c>
      <c r="M13">
        <v>264</v>
      </c>
      <c r="N13" s="7">
        <f t="shared" si="1"/>
        <v>1.7231288888888892</v>
      </c>
      <c r="O13" s="8">
        <f t="shared" si="7"/>
        <v>53.81900000000126</v>
      </c>
      <c r="P13" s="9">
        <f t="shared" si="8"/>
        <v>2660.6432887590117</v>
      </c>
      <c r="S13">
        <f>COUNTIF($E$7:$E34,E13)</f>
        <v>4</v>
      </c>
      <c r="T13">
        <f t="shared" si="2"/>
        <v>1</v>
      </c>
      <c r="U13" t="str">
        <f t="shared" si="3"/>
        <v>McLaren@MP4-28</v>
      </c>
      <c r="V13" t="str">
        <f t="shared" si="4"/>
        <v>McLaren</v>
      </c>
      <c r="W13" t="str">
        <f>CONCATENATE(V13,COUNTIF($V$7:V13,V13))</f>
        <v>McLaren1</v>
      </c>
      <c r="X13" t="str">
        <f t="shared" si="5"/>
        <v>Sergio Perez</v>
      </c>
      <c r="Y13">
        <f t="shared" si="6"/>
        <v>6</v>
      </c>
    </row>
    <row r="14" spans="1:25" ht="12.75">
      <c r="A14">
        <v>8</v>
      </c>
      <c r="B14">
        <v>4</v>
      </c>
      <c r="C14">
        <v>4</v>
      </c>
      <c r="D14" t="s">
        <v>47</v>
      </c>
      <c r="E14" t="s">
        <v>48</v>
      </c>
      <c r="F14" t="str">
        <f t="shared" si="0"/>
        <v>Ferrari</v>
      </c>
      <c r="G14" t="s">
        <v>41</v>
      </c>
      <c r="H14" t="s">
        <v>42</v>
      </c>
      <c r="I14">
        <v>70</v>
      </c>
      <c r="J14">
        <v>1</v>
      </c>
      <c r="K14">
        <v>43</v>
      </c>
      <c r="L14">
        <v>25</v>
      </c>
      <c r="M14">
        <v>892</v>
      </c>
      <c r="N14" s="7">
        <f t="shared" si="1"/>
        <v>1.723858888888889</v>
      </c>
      <c r="O14" s="8">
        <f t="shared" si="7"/>
        <v>56.44700000000089</v>
      </c>
      <c r="P14" s="9">
        <f t="shared" si="8"/>
        <v>2789.381685984911</v>
      </c>
      <c r="S14">
        <f>COUNTIF($E$7:$E35,E14)</f>
        <v>1</v>
      </c>
      <c r="T14">
        <f t="shared" si="2"/>
        <v>1</v>
      </c>
      <c r="U14" t="str">
        <f t="shared" si="3"/>
        <v>Ferrari@F138</v>
      </c>
      <c r="V14" t="str">
        <f t="shared" si="4"/>
        <v>Ferrari</v>
      </c>
      <c r="W14" t="str">
        <f>CONCATENATE(V14,COUNTIF($V$7:V14,V14))</f>
        <v>Ferrari2</v>
      </c>
      <c r="X14" t="str">
        <f t="shared" si="5"/>
        <v>Fernando Alonso</v>
      </c>
      <c r="Y14">
        <f t="shared" si="6"/>
        <v>2</v>
      </c>
    </row>
    <row r="15" spans="1:25" ht="12.75">
      <c r="A15">
        <v>9</v>
      </c>
      <c r="B15">
        <v>2</v>
      </c>
      <c r="C15">
        <v>6</v>
      </c>
      <c r="D15" t="s">
        <v>49</v>
      </c>
      <c r="E15" t="s">
        <v>50</v>
      </c>
      <c r="F15" t="str">
        <f t="shared" si="0"/>
        <v>McLaren</v>
      </c>
      <c r="G15" t="s">
        <v>46</v>
      </c>
      <c r="H15" t="s">
        <v>28</v>
      </c>
      <c r="I15">
        <v>69</v>
      </c>
      <c r="N15" s="7">
        <f t="shared" si="1"/>
      </c>
      <c r="O15" s="8">
        <f t="shared" si="7"/>
      </c>
      <c r="P15" s="9">
        <f t="shared" si="8"/>
      </c>
      <c r="S15">
        <f>COUNTIF($E$7:$E36,E15)</f>
        <v>2</v>
      </c>
      <c r="T15">
        <f t="shared" si="2"/>
        <v>1</v>
      </c>
      <c r="U15" t="str">
        <f t="shared" si="3"/>
        <v>McLaren@MP4-28</v>
      </c>
      <c r="V15" t="str">
        <f t="shared" si="4"/>
        <v>McLaren</v>
      </c>
      <c r="W15" t="str">
        <f>CONCATENATE(V15,COUNTIF($V$7:V15,V15))</f>
        <v>McLaren2</v>
      </c>
      <c r="X15" t="str">
        <f t="shared" si="5"/>
        <v>Jenson Button</v>
      </c>
      <c r="Y15">
        <f t="shared" si="6"/>
        <v>6</v>
      </c>
    </row>
    <row r="16" spans="1:25" ht="12.75">
      <c r="A16">
        <v>10</v>
      </c>
      <c r="B16">
        <v>1</v>
      </c>
      <c r="C16">
        <v>16</v>
      </c>
      <c r="D16" t="s">
        <v>51</v>
      </c>
      <c r="E16" t="s">
        <v>52</v>
      </c>
      <c r="F16" t="str">
        <f t="shared" si="0"/>
        <v>Williams</v>
      </c>
      <c r="G16" t="s">
        <v>53</v>
      </c>
      <c r="H16" t="s">
        <v>33</v>
      </c>
      <c r="I16">
        <v>69</v>
      </c>
      <c r="N16" s="7">
        <f t="shared" si="1"/>
      </c>
      <c r="O16" s="8">
        <f t="shared" si="7"/>
      </c>
      <c r="P16" s="9">
        <f t="shared" si="8"/>
      </c>
      <c r="S16">
        <f>COUNTIF($E$7:$E37,E16)</f>
        <v>1</v>
      </c>
      <c r="T16">
        <f t="shared" si="2"/>
        <v>1</v>
      </c>
      <c r="U16" t="str">
        <f t="shared" si="3"/>
        <v>Williams@FW35</v>
      </c>
      <c r="V16" t="str">
        <f t="shared" si="4"/>
        <v>Williams</v>
      </c>
      <c r="W16" t="str">
        <f>CONCATENATE(V16,COUNTIF($V$7:V16,V16))</f>
        <v>Williams1</v>
      </c>
      <c r="X16" t="str">
        <f t="shared" si="5"/>
        <v>Valtteri Bottas</v>
      </c>
      <c r="Y16">
        <f t="shared" si="6"/>
        <v>11</v>
      </c>
    </row>
    <row r="17" spans="1:25" ht="12.75">
      <c r="A17">
        <v>11</v>
      </c>
      <c r="B17" t="s">
        <v>54</v>
      </c>
      <c r="C17">
        <v>11</v>
      </c>
      <c r="D17" t="s">
        <v>55</v>
      </c>
      <c r="E17" t="s">
        <v>35</v>
      </c>
      <c r="F17" t="str">
        <f t="shared" si="0"/>
        <v>Sauber</v>
      </c>
      <c r="G17" t="s">
        <v>56</v>
      </c>
      <c r="H17" t="s">
        <v>42</v>
      </c>
      <c r="I17">
        <v>69</v>
      </c>
      <c r="N17" s="7">
        <f t="shared" si="1"/>
      </c>
      <c r="O17" s="8">
        <f t="shared" si="7"/>
      </c>
      <c r="P17" s="9">
        <f t="shared" si="8"/>
      </c>
      <c r="S17">
        <f>COUNTIF($E$7:$E38,E17)</f>
        <v>4</v>
      </c>
      <c r="T17">
        <f t="shared" si="2"/>
        <v>1</v>
      </c>
      <c r="U17" t="str">
        <f t="shared" si="3"/>
        <v>Sauber@C32</v>
      </c>
      <c r="V17" t="str">
        <f t="shared" si="4"/>
        <v>Sauber</v>
      </c>
      <c r="W17" t="str">
        <f>CONCATENATE(V17,COUNTIF($V$7:V17,V17))</f>
        <v>Sauber1</v>
      </c>
      <c r="X17" t="str">
        <f t="shared" si="5"/>
        <v>Esteban Gutiérrez</v>
      </c>
      <c r="Y17">
        <f t="shared" si="6"/>
        <v>9</v>
      </c>
    </row>
    <row r="18" spans="1:25" ht="12.75">
      <c r="A18">
        <v>12</v>
      </c>
      <c r="B18" t="s">
        <v>54</v>
      </c>
      <c r="C18">
        <v>18</v>
      </c>
      <c r="D18" t="s">
        <v>57</v>
      </c>
      <c r="E18" t="s">
        <v>44</v>
      </c>
      <c r="F18" t="str">
        <f t="shared" si="0"/>
        <v>Toro Rosso</v>
      </c>
      <c r="G18" t="s">
        <v>58</v>
      </c>
      <c r="H18" t="s">
        <v>42</v>
      </c>
      <c r="I18">
        <v>69</v>
      </c>
      <c r="N18" s="7">
        <f t="shared" si="1"/>
      </c>
      <c r="O18" s="8">
        <f t="shared" si="7"/>
      </c>
      <c r="P18" s="9">
        <f t="shared" si="8"/>
      </c>
      <c r="S18">
        <f>COUNTIF($E$7:$E39,E18)</f>
        <v>4</v>
      </c>
      <c r="T18">
        <f t="shared" si="2"/>
        <v>2</v>
      </c>
      <c r="U18" t="str">
        <f t="shared" si="3"/>
        <v>Toro Rosso@STR8</v>
      </c>
      <c r="V18" t="str">
        <f t="shared" si="4"/>
        <v>Toro Rosso</v>
      </c>
      <c r="W18" t="str">
        <f>CONCATENATE(V18,COUNTIF($V$7:V18,V18))</f>
        <v>Toro Rosso1</v>
      </c>
      <c r="X18" t="str">
        <f t="shared" si="5"/>
        <v>Daniel Ricciardo</v>
      </c>
      <c r="Y18">
        <f t="shared" si="6"/>
        <v>10</v>
      </c>
    </row>
    <row r="19" spans="1:25" ht="12.75">
      <c r="A19">
        <v>13</v>
      </c>
      <c r="B19" t="s">
        <v>54</v>
      </c>
      <c r="C19">
        <v>19</v>
      </c>
      <c r="D19" t="s">
        <v>59</v>
      </c>
      <c r="E19" t="s">
        <v>38</v>
      </c>
      <c r="F19" t="str">
        <f t="shared" si="0"/>
        <v>Toro Rosso</v>
      </c>
      <c r="G19" t="s">
        <v>58</v>
      </c>
      <c r="H19" t="s">
        <v>42</v>
      </c>
      <c r="I19">
        <v>69</v>
      </c>
      <c r="N19" s="7">
        <f t="shared" si="1"/>
      </c>
      <c r="O19" s="8">
        <f t="shared" si="7"/>
      </c>
      <c r="P19" s="9">
        <f t="shared" si="8"/>
      </c>
      <c r="S19">
        <f>COUNTIF($E$7:$E40,E19)</f>
        <v>2</v>
      </c>
      <c r="T19">
        <f t="shared" si="2"/>
        <v>2</v>
      </c>
      <c r="U19" t="str">
        <f t="shared" si="3"/>
        <v>Toro Rosso@STR8</v>
      </c>
      <c r="V19" t="str">
        <f t="shared" si="4"/>
        <v>Toro Rosso</v>
      </c>
      <c r="W19" t="str">
        <f>CONCATENATE(V19,COUNTIF($V$7:V19,V19))</f>
        <v>Toro Rosso2</v>
      </c>
      <c r="X19" t="str">
        <f t="shared" si="5"/>
        <v>Jean-Eric Vergne</v>
      </c>
      <c r="Y19">
        <f t="shared" si="6"/>
        <v>10</v>
      </c>
    </row>
    <row r="20" spans="1:25" ht="12.75">
      <c r="A20">
        <v>14</v>
      </c>
      <c r="B20" t="s">
        <v>54</v>
      </c>
      <c r="C20">
        <v>21</v>
      </c>
      <c r="D20" t="s">
        <v>60</v>
      </c>
      <c r="E20" t="s">
        <v>61</v>
      </c>
      <c r="F20" t="str">
        <f t="shared" si="0"/>
        <v>Caterham</v>
      </c>
      <c r="G20" t="s">
        <v>62</v>
      </c>
      <c r="H20" t="s">
        <v>33</v>
      </c>
      <c r="I20">
        <v>68</v>
      </c>
      <c r="N20" s="7">
        <f t="shared" si="1"/>
      </c>
      <c r="O20" s="8">
        <f t="shared" si="7"/>
      </c>
      <c r="P20" s="9">
        <f t="shared" si="8"/>
      </c>
      <c r="S20">
        <f>COUNTIF($E$7:$E41,E20)</f>
        <v>1</v>
      </c>
      <c r="T20">
        <f t="shared" si="2"/>
        <v>1</v>
      </c>
      <c r="U20" t="str">
        <f t="shared" si="3"/>
        <v>Caterham@CT03</v>
      </c>
      <c r="V20" t="str">
        <f t="shared" si="4"/>
        <v>Caterham</v>
      </c>
      <c r="W20" t="str">
        <f>CONCATENATE(V20,COUNTIF($V$7:V20,V20))</f>
        <v>Caterham1</v>
      </c>
      <c r="X20" t="str">
        <f t="shared" si="5"/>
        <v>Charles Pic</v>
      </c>
      <c r="Y20">
        <f t="shared" si="6"/>
        <v>1</v>
      </c>
    </row>
    <row r="21" spans="1:25" ht="12.75">
      <c r="A21">
        <v>15</v>
      </c>
      <c r="B21" t="s">
        <v>54</v>
      </c>
      <c r="C21">
        <v>20</v>
      </c>
      <c r="D21" t="s">
        <v>63</v>
      </c>
      <c r="E21" t="s">
        <v>44</v>
      </c>
      <c r="F21" t="str">
        <f t="shared" si="0"/>
        <v>Caterham</v>
      </c>
      <c r="G21" t="s">
        <v>62</v>
      </c>
      <c r="H21" t="s">
        <v>33</v>
      </c>
      <c r="I21">
        <v>68</v>
      </c>
      <c r="N21" s="7">
        <f t="shared" si="1"/>
      </c>
      <c r="O21" s="8">
        <f t="shared" si="7"/>
      </c>
      <c r="P21" s="9">
        <f t="shared" si="8"/>
      </c>
      <c r="S21">
        <f>COUNTIF($E$7:$E42,E21)</f>
        <v>4</v>
      </c>
      <c r="T21">
        <f t="shared" si="2"/>
        <v>1</v>
      </c>
      <c r="U21" t="str">
        <f t="shared" si="3"/>
        <v>Caterham@CT03</v>
      </c>
      <c r="V21" t="str">
        <f t="shared" si="4"/>
        <v>Caterham</v>
      </c>
      <c r="W21" t="str">
        <f>CONCATENATE(V21,COUNTIF($V$7:V21,V21))</f>
        <v>Caterham2</v>
      </c>
      <c r="X21" t="str">
        <f t="shared" si="5"/>
        <v>Giedo van der Garde</v>
      </c>
      <c r="Y21">
        <f t="shared" si="6"/>
        <v>1</v>
      </c>
    </row>
    <row r="22" spans="1:25" ht="12.75">
      <c r="A22">
        <v>16</v>
      </c>
      <c r="B22" t="s">
        <v>54</v>
      </c>
      <c r="C22">
        <v>22</v>
      </c>
      <c r="D22" t="s">
        <v>64</v>
      </c>
      <c r="E22" t="s">
        <v>44</v>
      </c>
      <c r="F22" t="str">
        <f t="shared" si="0"/>
        <v>Marussia</v>
      </c>
      <c r="G22" t="s">
        <v>65</v>
      </c>
      <c r="H22" t="s">
        <v>66</v>
      </c>
      <c r="I22">
        <v>67</v>
      </c>
      <c r="N22" s="7">
        <f t="shared" si="1"/>
      </c>
      <c r="O22" s="8">
        <f t="shared" si="7"/>
      </c>
      <c r="P22" s="9">
        <f t="shared" si="8"/>
      </c>
      <c r="S22">
        <f>COUNTIF($E$7:$E43,E22)</f>
        <v>4</v>
      </c>
      <c r="T22">
        <f t="shared" si="2"/>
        <v>1</v>
      </c>
      <c r="U22" t="str">
        <f t="shared" si="3"/>
        <v>Marussia@MR02</v>
      </c>
      <c r="V22" t="str">
        <f t="shared" si="4"/>
        <v>Marussia</v>
      </c>
      <c r="W22" t="str">
        <f>CONCATENATE(V22,COUNTIF($V$7:V22,V22))</f>
        <v>Marussia1</v>
      </c>
      <c r="X22" t="str">
        <f t="shared" si="5"/>
        <v>Max Chilton</v>
      </c>
      <c r="Y22">
        <f t="shared" si="6"/>
        <v>5</v>
      </c>
    </row>
    <row r="23" spans="1:25" ht="12.75">
      <c r="A23">
        <v>17</v>
      </c>
      <c r="B23" t="s">
        <v>54</v>
      </c>
      <c r="C23">
        <v>23</v>
      </c>
      <c r="D23" t="s">
        <v>67</v>
      </c>
      <c r="E23" t="s">
        <v>26</v>
      </c>
      <c r="F23" t="str">
        <f t="shared" si="0"/>
        <v>Marussia</v>
      </c>
      <c r="G23" t="s">
        <v>65</v>
      </c>
      <c r="H23" t="s">
        <v>66</v>
      </c>
      <c r="I23">
        <v>67</v>
      </c>
      <c r="N23" s="7">
        <f t="shared" si="1"/>
      </c>
      <c r="O23" s="8">
        <f t="shared" si="7"/>
      </c>
      <c r="P23" s="9">
        <f t="shared" si="8"/>
      </c>
      <c r="S23">
        <f>COUNTIF($E$7:$E44,E23)</f>
        <v>4</v>
      </c>
      <c r="T23">
        <f t="shared" si="2"/>
        <v>1</v>
      </c>
      <c r="U23" t="str">
        <f t="shared" si="3"/>
        <v>Marussia@MR02</v>
      </c>
      <c r="V23" t="str">
        <f t="shared" si="4"/>
        <v>Marussia</v>
      </c>
      <c r="W23" t="str">
        <f>CONCATENATE(V23,COUNTIF($V$7:V23,V23))</f>
        <v>Marussia2</v>
      </c>
      <c r="X23" t="str">
        <f t="shared" si="5"/>
        <v>Jules Bianchi</v>
      </c>
      <c r="Y23">
        <f t="shared" si="6"/>
        <v>5</v>
      </c>
    </row>
    <row r="24" spans="1:25" ht="12.75">
      <c r="A24">
        <v>18</v>
      </c>
      <c r="B24" t="s">
        <v>54</v>
      </c>
      <c r="C24">
        <v>14</v>
      </c>
      <c r="D24" t="s">
        <v>68</v>
      </c>
      <c r="E24" t="s">
        <v>26</v>
      </c>
      <c r="F24" t="str">
        <f t="shared" si="0"/>
        <v>Force India</v>
      </c>
      <c r="G24" t="s">
        <v>69</v>
      </c>
      <c r="H24" t="s">
        <v>28</v>
      </c>
      <c r="I24">
        <v>66</v>
      </c>
      <c r="N24" s="7">
        <f t="shared" si="1"/>
      </c>
      <c r="O24" s="8">
        <f t="shared" si="7"/>
      </c>
      <c r="P24" s="9">
        <f t="shared" si="8"/>
      </c>
      <c r="S24">
        <f>COUNTIF($E$7:$E45,E24)</f>
        <v>4</v>
      </c>
      <c r="T24">
        <f t="shared" si="2"/>
        <v>2</v>
      </c>
      <c r="U24" t="str">
        <f t="shared" si="3"/>
        <v>Force India@VJM06</v>
      </c>
      <c r="V24" t="str">
        <f t="shared" si="4"/>
        <v>Force India</v>
      </c>
      <c r="W24" t="str">
        <f>CONCATENATE(V24,COUNTIF($V$7:V24,V24))</f>
        <v>Force India1</v>
      </c>
      <c r="X24" t="str">
        <f t="shared" si="5"/>
        <v>Adrian Sutil</v>
      </c>
      <c r="Y24">
        <f t="shared" si="6"/>
        <v>3</v>
      </c>
    </row>
    <row r="25" spans="1:25" ht="12.75">
      <c r="A25">
        <v>19</v>
      </c>
      <c r="B25" t="s">
        <v>54</v>
      </c>
      <c r="C25">
        <v>9</v>
      </c>
      <c r="D25" t="s">
        <v>70</v>
      </c>
      <c r="E25" t="s">
        <v>35</v>
      </c>
      <c r="F25" t="str">
        <f t="shared" si="0"/>
        <v>Mercedes</v>
      </c>
      <c r="G25" t="s">
        <v>27</v>
      </c>
      <c r="H25" t="s">
        <v>28</v>
      </c>
      <c r="I25">
        <v>64</v>
      </c>
      <c r="N25" s="7">
        <f t="shared" si="1"/>
      </c>
      <c r="O25" s="8">
        <f t="shared" si="7"/>
      </c>
      <c r="P25" s="9">
        <f t="shared" si="8"/>
      </c>
      <c r="S25">
        <f>COUNTIF($E$7:$E46,E25)</f>
        <v>4</v>
      </c>
      <c r="T25">
        <f t="shared" si="2"/>
        <v>1</v>
      </c>
      <c r="U25" t="str">
        <f t="shared" si="3"/>
        <v>Mercedes@WO4</v>
      </c>
      <c r="V25" t="str">
        <f t="shared" si="4"/>
        <v>Mercedes</v>
      </c>
      <c r="W25" t="str">
        <f>CONCATENATE(V25,COUNTIF($V$7:V25,V25))</f>
        <v>Mercedes2</v>
      </c>
      <c r="X25" t="str">
        <f t="shared" si="5"/>
        <v>Lewis Hamilton</v>
      </c>
      <c r="Y25">
        <f t="shared" si="6"/>
        <v>7</v>
      </c>
    </row>
    <row r="26" spans="1:25" ht="12.75">
      <c r="A26" t="s">
        <v>71</v>
      </c>
      <c r="C26">
        <v>17</v>
      </c>
      <c r="D26" t="s">
        <v>72</v>
      </c>
      <c r="E26" t="s">
        <v>31</v>
      </c>
      <c r="F26" t="str">
        <f t="shared" si="0"/>
        <v>Williams</v>
      </c>
      <c r="G26" t="s">
        <v>53</v>
      </c>
      <c r="H26" t="s">
        <v>33</v>
      </c>
      <c r="I26">
        <v>42</v>
      </c>
      <c r="N26" s="7">
        <f t="shared" si="1"/>
      </c>
      <c r="O26" s="8">
        <f t="shared" si="7"/>
      </c>
      <c r="P26" s="9">
        <f t="shared" si="8"/>
      </c>
      <c r="S26">
        <f>COUNTIF($E$7:$E47,E26)</f>
        <v>2</v>
      </c>
      <c r="T26">
        <f t="shared" si="2"/>
        <v>1</v>
      </c>
      <c r="U26" t="str">
        <f t="shared" si="3"/>
        <v>Williams@FW35</v>
      </c>
      <c r="V26" t="str">
        <f t="shared" si="4"/>
        <v>Williams</v>
      </c>
      <c r="W26" t="str">
        <f>CONCATENATE(V26,COUNTIF($V$7:V26,V26))</f>
        <v>Williams2</v>
      </c>
      <c r="X26" t="str">
        <f t="shared" si="5"/>
        <v>Pastor Maldonado</v>
      </c>
      <c r="Y26">
        <f t="shared" si="6"/>
        <v>11</v>
      </c>
    </row>
    <row r="27" spans="1:25" ht="12.75">
      <c r="A27" t="s">
        <v>71</v>
      </c>
      <c r="C27">
        <v>12</v>
      </c>
      <c r="D27" t="s">
        <v>73</v>
      </c>
      <c r="E27" t="s">
        <v>50</v>
      </c>
      <c r="F27" t="str">
        <f t="shared" si="0"/>
        <v>Sauber</v>
      </c>
      <c r="G27" t="s">
        <v>56</v>
      </c>
      <c r="H27" t="s">
        <v>42</v>
      </c>
      <c r="I27">
        <v>28</v>
      </c>
      <c r="N27" s="7">
        <f t="shared" si="1"/>
      </c>
      <c r="O27" s="8">
        <f t="shared" si="7"/>
      </c>
      <c r="P27" s="9">
        <f t="shared" si="8"/>
      </c>
      <c r="S27">
        <f>COUNTIF($E$7:$E48,E27)</f>
        <v>2</v>
      </c>
      <c r="T27">
        <f t="shared" si="2"/>
        <v>1</v>
      </c>
      <c r="U27" t="str">
        <f t="shared" si="3"/>
        <v>Sauber@C32</v>
      </c>
      <c r="V27" t="str">
        <f t="shared" si="4"/>
        <v>Sauber</v>
      </c>
      <c r="W27" t="str">
        <f>CONCATENATE(V27,COUNTIF($V$7:V27,V27))</f>
        <v>Sauber2</v>
      </c>
      <c r="X27" t="str">
        <f t="shared" si="5"/>
        <v>Nico Hülkenberg</v>
      </c>
      <c r="Y27">
        <f t="shared" si="6"/>
        <v>9</v>
      </c>
    </row>
    <row r="28" spans="1:25" ht="12.75">
      <c r="A28" t="s">
        <v>71</v>
      </c>
      <c r="C28">
        <v>15</v>
      </c>
      <c r="D28" t="s">
        <v>74</v>
      </c>
      <c r="E28" t="s">
        <v>35</v>
      </c>
      <c r="F28" t="str">
        <f t="shared" si="0"/>
        <v>Force India</v>
      </c>
      <c r="G28" t="s">
        <v>69</v>
      </c>
      <c r="H28" t="s">
        <v>28</v>
      </c>
      <c r="I28">
        <v>19</v>
      </c>
      <c r="N28" s="7">
        <f t="shared" si="1"/>
      </c>
      <c r="O28" s="8">
        <f t="shared" si="7"/>
      </c>
      <c r="P28" s="9">
        <f t="shared" si="8"/>
      </c>
      <c r="S28">
        <f>COUNTIF($E$7:$E49,E28)</f>
        <v>4</v>
      </c>
      <c r="T28">
        <f t="shared" si="2"/>
        <v>2</v>
      </c>
      <c r="U28" t="str">
        <f t="shared" si="3"/>
        <v>Force India@VJM06</v>
      </c>
      <c r="V28" t="str">
        <f t="shared" si="4"/>
        <v>Force India</v>
      </c>
      <c r="W28" t="str">
        <f>CONCATENATE(V28,COUNTIF($V$7:V28,V28))</f>
        <v>Force India2</v>
      </c>
      <c r="X28" t="str">
        <f t="shared" si="5"/>
        <v>Paul di Resta</v>
      </c>
      <c r="Y28">
        <f t="shared" si="6"/>
        <v>3</v>
      </c>
    </row>
    <row r="29" spans="1:19" ht="12.75">
      <c r="A29" t="s">
        <v>75</v>
      </c>
      <c r="P29" t="s">
        <v>29</v>
      </c>
      <c r="S29">
        <f>MAX(S7:S28)</f>
        <v>4</v>
      </c>
    </row>
    <row r="30" spans="1:2" ht="12.75">
      <c r="A30">
        <v>1</v>
      </c>
      <c r="B30" s="10">
        <f>$B$4/N7</f>
        <v>179.5303478606606</v>
      </c>
    </row>
    <row r="31" spans="1:2" ht="12.75">
      <c r="A31">
        <v>2</v>
      </c>
      <c r="B31" s="10">
        <f>$B$4/N8</f>
        <v>179.21158473426087</v>
      </c>
    </row>
    <row r="32" spans="1:2" ht="12.75">
      <c r="A32">
        <v>3</v>
      </c>
      <c r="B32" s="10">
        <f>$B$4/N9</f>
        <v>179.1673482741698</v>
      </c>
    </row>
    <row r="33" spans="1:2" ht="12.75">
      <c r="A33" t="s">
        <v>76</v>
      </c>
      <c r="B33" t="str">
        <f>INDEX(E7:E28,MATCH(S29,S7:S28,0))</f>
        <v>GBR</v>
      </c>
    </row>
    <row r="34" spans="1:16" ht="12.75">
      <c r="A34" t="s">
        <v>77</v>
      </c>
      <c r="B34" t="s">
        <v>78</v>
      </c>
      <c r="N34" t="s">
        <v>29</v>
      </c>
      <c r="O34" t="s">
        <v>29</v>
      </c>
      <c r="P34" t="s">
        <v>29</v>
      </c>
    </row>
    <row r="35" spans="1:2" ht="12.75">
      <c r="A35">
        <v>20</v>
      </c>
      <c r="B35">
        <f>IF(A51=0,"",A52)</f>
      </c>
    </row>
    <row r="37" ht="12.75">
      <c r="A37" t="s">
        <v>89</v>
      </c>
    </row>
    <row r="38" spans="1:2" ht="12.75">
      <c r="A38" t="str">
        <f>INDEX($F$7:$F$28,MATCH(ROW(A38)-37,$Y$7:$Y$28,0))</f>
        <v>Caterham</v>
      </c>
      <c r="B38">
        <f>IF(SUMIF($F$7:$F$28,A38,$B$7:$B$28)=0,"",SUMIF($F$7:$F$28,A38,$B$7:$B$28))</f>
      </c>
    </row>
    <row r="39" spans="1:2" ht="12.75">
      <c r="A39" t="str">
        <f aca="true" t="shared" si="9" ref="A39:A48">INDEX($F$7:$F$28,MATCH(ROW(A39)-37,$Y$7:$Y$28,0))</f>
        <v>Ferrari</v>
      </c>
      <c r="B39">
        <f aca="true" t="shared" si="10" ref="B39:B48">IF(SUMIF($F$7:$F$28,A39,$B$7:$B$28)=0,"",SUMIF($F$7:$F$28,A39,$B$7:$B$28))</f>
        <v>14</v>
      </c>
    </row>
    <row r="40" spans="1:2" ht="12.75">
      <c r="A40" t="str">
        <f t="shared" si="9"/>
        <v>Force India</v>
      </c>
      <c r="B40">
        <f t="shared" si="10"/>
      </c>
    </row>
    <row r="41" spans="1:2" ht="12.75">
      <c r="A41" t="str">
        <f t="shared" si="9"/>
        <v>Lotus</v>
      </c>
      <c r="B41">
        <f t="shared" si="10"/>
        <v>26</v>
      </c>
    </row>
    <row r="42" spans="1:2" ht="12.75">
      <c r="A42" t="str">
        <f t="shared" si="9"/>
        <v>Marussia</v>
      </c>
      <c r="B42">
        <f t="shared" si="10"/>
      </c>
    </row>
    <row r="43" spans="1:2" ht="12.75">
      <c r="A43" t="str">
        <f t="shared" si="9"/>
        <v>McLaren</v>
      </c>
      <c r="B43">
        <f t="shared" si="10"/>
        <v>8</v>
      </c>
    </row>
    <row r="44" spans="1:2" ht="12.75">
      <c r="A44" t="str">
        <f t="shared" si="9"/>
        <v>Mercedes</v>
      </c>
      <c r="B44">
        <f t="shared" si="10"/>
        <v>25</v>
      </c>
    </row>
    <row r="45" spans="1:2" ht="12.75">
      <c r="A45" t="str">
        <f t="shared" si="9"/>
        <v>Red Bull</v>
      </c>
      <c r="B45">
        <f t="shared" si="10"/>
        <v>27</v>
      </c>
    </row>
    <row r="46" spans="1:2" ht="12.75">
      <c r="A46" t="str">
        <f t="shared" si="9"/>
        <v>Sauber</v>
      </c>
      <c r="B46">
        <f t="shared" si="10"/>
      </c>
    </row>
    <row r="47" spans="1:2" ht="12.75">
      <c r="A47" t="str">
        <f t="shared" si="9"/>
        <v>Toro Rosso</v>
      </c>
      <c r="B47">
        <f t="shared" si="10"/>
      </c>
    </row>
    <row r="48" spans="1:2" ht="12.75">
      <c r="A48" t="str">
        <f t="shared" si="9"/>
        <v>Williams</v>
      </c>
      <c r="B48">
        <f t="shared" si="10"/>
        <v>1</v>
      </c>
    </row>
    <row r="51" spans="1:8" ht="12.75">
      <c r="A51">
        <f>IF(COUNTIF(A7:A28,A35)=1,A35,0)</f>
        <v>0</v>
      </c>
      <c r="B51">
        <f>IF(A51&lt;&gt;0,VLOOKUP(A51,A7:H28,4,FALSE),"")</f>
      </c>
      <c r="C51">
        <f>IF(A51&lt;&gt;0,VLOOKUP(A51,A7:H28,5,FALSE),"")</f>
      </c>
      <c r="D51">
        <f>IF(A51&lt;&gt;0,VLOOKUP(A51,A7:X28,24,FALSE),"")</f>
      </c>
      <c r="E51">
        <f>IF(A51&lt;&gt;0,VLOOKUP(D51,D7:E28,2,FALSE),"")</f>
      </c>
      <c r="F51">
        <f>IF(A51&lt;&gt;0,INDEX(A7:A28,MATCH(D51,D7:D28,0)),"")</f>
      </c>
      <c r="G51">
        <f>IF(A51&lt;&gt;0,VLOOKUP(A51,A7:F28,6,FALSE),"")</f>
      </c>
      <c r="H51">
        <f>IF(A51=0,"",IF(F51="Kiesett","kiesett.",IF(A51&lt;F51,CONCATENATE("hátrébb, a ",F51,". helyen végzett"),CONCATENATE("előrébb, a ",F51,". helyen végzett"))))</f>
      </c>
    </row>
    <row r="52" ht="12.75">
      <c r="A52" t="str">
        <f>CONCATENATE(B51," (",C51,") a ",G51," pilótája, csapattársa, ",D51," (",E51,") ",H51)</f>
        <v> () a  pilótája, csapattársa,  () </v>
      </c>
    </row>
  </sheetData>
  <mergeCells count="8">
    <mergeCell ref="A1:L1"/>
    <mergeCell ref="M1:N1"/>
    <mergeCell ref="O1:P1"/>
    <mergeCell ref="A5:F5"/>
    <mergeCell ref="G5:H5"/>
    <mergeCell ref="I5:I6"/>
    <mergeCell ref="J5:N5"/>
    <mergeCell ref="O5:P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C1" sqref="C1"/>
    </sheetView>
  </sheetViews>
  <sheetFormatPr defaultColWidth="9.140625" defaultRowHeight="24.75" customHeight="1"/>
  <cols>
    <col min="1" max="16384" width="4.7109375" style="0" customWidth="1"/>
  </cols>
  <sheetData>
    <row r="1" spans="1:2" ht="24.75" customHeight="1">
      <c r="A1">
        <v>30</v>
      </c>
      <c r="B1">
        <v>16</v>
      </c>
    </row>
  </sheetData>
  <conditionalFormatting sqref="C4:IR253">
    <cfRule type="expression" priority="1" dxfId="0" stopIfTrue="1">
      <formula>IF(AND(ROW(C3)&gt;2,ROW(C3)&lt;$B$1+3,COLUMN(C3)&gt;2,COLUMN(C3)&lt;$A$1+3,MOD(ROW(C3)+COLUMN(C3),2)=0),TRUE,FALSE)</formula>
    </cfRule>
    <cfRule type="expression" priority="2" dxfId="1" stopIfTrue="1">
      <formula>IF(AND(ROW(C3)&gt;2,ROW(C3)&lt;$B$1+3,COLUMN(C3)&gt;2,COLUMN(C3)&lt;$A$1+3,MOD(ROW(C3)+COLUMN(C3),2)=1),TRUE,FALSE)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Tóth Tamás</cp:lastModifiedBy>
  <dcterms:created xsi:type="dcterms:W3CDTF">2014-06-20T10:58:10Z</dcterms:created>
  <dcterms:modified xsi:type="dcterms:W3CDTF">2014-06-20T12:17:16Z</dcterms:modified>
  <cp:category/>
  <cp:version/>
  <cp:contentType/>
  <cp:contentStatus/>
</cp:coreProperties>
</file>