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atok\Kömal\"/>
    </mc:Choice>
  </mc:AlternateContent>
  <xr:revisionPtr revIDLastSave="0" documentId="13_ncr:1_{61E0CEC4-279F-4AA4-B432-5E5F42E17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at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" i="1"/>
  <c r="A34" i="1"/>
  <c r="G26" i="1"/>
  <c r="E26" i="1"/>
  <c r="M5" i="1"/>
  <c r="N5" i="1" s="1"/>
  <c r="M6" i="1"/>
  <c r="N6" i="1" s="1"/>
  <c r="M8" i="1"/>
  <c r="N8" i="1" s="1"/>
  <c r="M11" i="1"/>
  <c r="N11" i="1" s="1"/>
  <c r="M13" i="1"/>
  <c r="N13" i="1" s="1"/>
  <c r="M14" i="1"/>
  <c r="N14" i="1" s="1"/>
  <c r="M16" i="1"/>
  <c r="N16" i="1" s="1"/>
  <c r="M21" i="1"/>
  <c r="N21" i="1" s="1"/>
  <c r="M22" i="1"/>
  <c r="N22" i="1" s="1"/>
  <c r="M24" i="1"/>
  <c r="N24" i="1" s="1"/>
  <c r="H5" i="1"/>
  <c r="H6" i="1"/>
  <c r="H8" i="1"/>
  <c r="H13" i="1"/>
  <c r="H14" i="1"/>
  <c r="H16" i="1"/>
  <c r="H21" i="1"/>
  <c r="H22" i="1"/>
  <c r="H24" i="1"/>
  <c r="S3" i="1"/>
  <c r="H9" i="1" s="1"/>
  <c r="F4" i="1"/>
  <c r="F5" i="1"/>
  <c r="I5" i="1" s="1"/>
  <c r="J5" i="1" s="1"/>
  <c r="K5" i="1" s="1"/>
  <c r="F7" i="1"/>
  <c r="F10" i="1"/>
  <c r="F12" i="1"/>
  <c r="F13" i="1"/>
  <c r="I13" i="1" s="1"/>
  <c r="J13" i="1" s="1"/>
  <c r="K13" i="1" s="1"/>
  <c r="F15" i="1"/>
  <c r="F18" i="1"/>
  <c r="F20" i="1"/>
  <c r="F21" i="1"/>
  <c r="I21" i="1" s="1"/>
  <c r="J21" i="1" s="1"/>
  <c r="K21" i="1" s="1"/>
  <c r="F23" i="1"/>
  <c r="F2" i="1"/>
  <c r="S2" i="1"/>
  <c r="M9" i="1" s="1"/>
  <c r="N9" i="1" s="1"/>
  <c r="O13" i="1" l="1"/>
  <c r="P13" i="1"/>
  <c r="T13" i="1" s="1"/>
  <c r="O5" i="1"/>
  <c r="P5" i="1"/>
  <c r="T5" i="1" s="1"/>
  <c r="P21" i="1"/>
  <c r="T21" i="1" s="1"/>
  <c r="O21" i="1"/>
  <c r="P24" i="1"/>
  <c r="T24" i="1" s="1"/>
  <c r="I2" i="1"/>
  <c r="O16" i="1"/>
  <c r="O9" i="1"/>
  <c r="P9" i="1"/>
  <c r="T9" i="1" s="1"/>
  <c r="I12" i="1"/>
  <c r="J12" i="1" s="1"/>
  <c r="K12" i="1" s="1"/>
  <c r="I23" i="1"/>
  <c r="J23" i="1" s="1"/>
  <c r="K23" i="1" s="1"/>
  <c r="O14" i="1"/>
  <c r="P14" i="1"/>
  <c r="T14" i="1" s="1"/>
  <c r="F22" i="1"/>
  <c r="I22" i="1" s="1"/>
  <c r="J22" i="1" s="1"/>
  <c r="K22" i="1" s="1"/>
  <c r="O22" i="1" s="1"/>
  <c r="F14" i="1"/>
  <c r="I14" i="1" s="1"/>
  <c r="J14" i="1" s="1"/>
  <c r="K14" i="1" s="1"/>
  <c r="F6" i="1"/>
  <c r="I6" i="1" s="1"/>
  <c r="J6" i="1" s="1"/>
  <c r="K6" i="1" s="1"/>
  <c r="O6" i="1" s="1"/>
  <c r="H23" i="1"/>
  <c r="H15" i="1"/>
  <c r="I15" i="1" s="1"/>
  <c r="J15" i="1" s="1"/>
  <c r="K15" i="1" s="1"/>
  <c r="H7" i="1"/>
  <c r="I7" i="1" s="1"/>
  <c r="J7" i="1" s="1"/>
  <c r="K7" i="1" s="1"/>
  <c r="M23" i="1"/>
  <c r="N23" i="1" s="1"/>
  <c r="M15" i="1"/>
  <c r="N15" i="1" s="1"/>
  <c r="M7" i="1"/>
  <c r="N7" i="1" s="1"/>
  <c r="F19" i="1"/>
  <c r="F11" i="1"/>
  <c r="F3" i="1"/>
  <c r="H20" i="1"/>
  <c r="I20" i="1" s="1"/>
  <c r="J20" i="1" s="1"/>
  <c r="K20" i="1" s="1"/>
  <c r="H12" i="1"/>
  <c r="H4" i="1"/>
  <c r="I4" i="1" s="1"/>
  <c r="J4" i="1" s="1"/>
  <c r="K4" i="1" s="1"/>
  <c r="M20" i="1"/>
  <c r="N20" i="1" s="1"/>
  <c r="M12" i="1"/>
  <c r="N12" i="1" s="1"/>
  <c r="M4" i="1"/>
  <c r="N4" i="1" s="1"/>
  <c r="H19" i="1"/>
  <c r="M19" i="1"/>
  <c r="N19" i="1" s="1"/>
  <c r="M3" i="1"/>
  <c r="N3" i="1" s="1"/>
  <c r="H3" i="1"/>
  <c r="F25" i="1"/>
  <c r="I25" i="1" s="1"/>
  <c r="J25" i="1" s="1"/>
  <c r="K25" i="1" s="1"/>
  <c r="F17" i="1"/>
  <c r="I17" i="1" s="1"/>
  <c r="J17" i="1" s="1"/>
  <c r="K17" i="1" s="1"/>
  <c r="F9" i="1"/>
  <c r="I9" i="1" s="1"/>
  <c r="J9" i="1" s="1"/>
  <c r="K9" i="1" s="1"/>
  <c r="H2" i="1"/>
  <c r="H18" i="1"/>
  <c r="I18" i="1" s="1"/>
  <c r="J18" i="1" s="1"/>
  <c r="K18" i="1" s="1"/>
  <c r="H10" i="1"/>
  <c r="I10" i="1" s="1"/>
  <c r="J10" i="1" s="1"/>
  <c r="K10" i="1" s="1"/>
  <c r="M2" i="1"/>
  <c r="M18" i="1"/>
  <c r="N18" i="1" s="1"/>
  <c r="M10" i="1"/>
  <c r="N10" i="1" s="1"/>
  <c r="H11" i="1"/>
  <c r="F24" i="1"/>
  <c r="I24" i="1" s="1"/>
  <c r="J24" i="1" s="1"/>
  <c r="K24" i="1" s="1"/>
  <c r="O24" i="1" s="1"/>
  <c r="F16" i="1"/>
  <c r="I16" i="1" s="1"/>
  <c r="J16" i="1" s="1"/>
  <c r="K16" i="1" s="1"/>
  <c r="P16" i="1" s="1"/>
  <c r="T16" i="1" s="1"/>
  <c r="F8" i="1"/>
  <c r="I8" i="1" s="1"/>
  <c r="J8" i="1" s="1"/>
  <c r="K8" i="1" s="1"/>
  <c r="O8" i="1" s="1"/>
  <c r="H25" i="1"/>
  <c r="H17" i="1"/>
  <c r="M25" i="1"/>
  <c r="N25" i="1" s="1"/>
  <c r="M17" i="1"/>
  <c r="N17" i="1" s="1"/>
  <c r="P15" i="1" l="1"/>
  <c r="T15" i="1" s="1"/>
  <c r="O15" i="1"/>
  <c r="O25" i="1"/>
  <c r="P25" i="1"/>
  <c r="T25" i="1" s="1"/>
  <c r="O18" i="1"/>
  <c r="P18" i="1"/>
  <c r="T18" i="1" s="1"/>
  <c r="O23" i="1"/>
  <c r="P23" i="1"/>
  <c r="T23" i="1" s="1"/>
  <c r="M26" i="1"/>
  <c r="N2" i="1"/>
  <c r="P6" i="1"/>
  <c r="T6" i="1" s="1"/>
  <c r="O17" i="1"/>
  <c r="P17" i="1"/>
  <c r="T17" i="1" s="1"/>
  <c r="P20" i="1"/>
  <c r="T20" i="1" s="1"/>
  <c r="O20" i="1"/>
  <c r="O7" i="1"/>
  <c r="P7" i="1"/>
  <c r="T7" i="1" s="1"/>
  <c r="I3" i="1"/>
  <c r="J3" i="1" s="1"/>
  <c r="K3" i="1" s="1"/>
  <c r="P3" i="1" s="1"/>
  <c r="T3" i="1" s="1"/>
  <c r="P8" i="1"/>
  <c r="T8" i="1" s="1"/>
  <c r="O12" i="1"/>
  <c r="P12" i="1"/>
  <c r="T12" i="1" s="1"/>
  <c r="H26" i="1"/>
  <c r="F26" i="1"/>
  <c r="I11" i="1"/>
  <c r="J11" i="1" s="1"/>
  <c r="K11" i="1" s="1"/>
  <c r="P22" i="1"/>
  <c r="T22" i="1" s="1"/>
  <c r="O10" i="1"/>
  <c r="P10" i="1"/>
  <c r="T10" i="1" s="1"/>
  <c r="J2" i="1"/>
  <c r="P4" i="1"/>
  <c r="T4" i="1" s="1"/>
  <c r="O4" i="1"/>
  <c r="I19" i="1"/>
  <c r="J19" i="1" s="1"/>
  <c r="K19" i="1" s="1"/>
  <c r="P19" i="1" s="1"/>
  <c r="T19" i="1" s="1"/>
  <c r="K2" i="1" l="1"/>
  <c r="K26" i="1" s="1"/>
  <c r="J26" i="1"/>
  <c r="P11" i="1"/>
  <c r="T11" i="1" s="1"/>
  <c r="O11" i="1"/>
  <c r="O3" i="1"/>
  <c r="O19" i="1"/>
  <c r="P2" i="1"/>
  <c r="N26" i="1"/>
  <c r="O2" i="1"/>
  <c r="I26" i="1"/>
  <c r="S4" i="1" l="1"/>
  <c r="A38" i="1" s="1"/>
  <c r="T2" i="1"/>
  <c r="A36" i="1"/>
  <c r="Y6" i="1" l="1"/>
  <c r="Y7" i="1" s="1"/>
  <c r="Y5" i="1"/>
  <c r="Y3" i="1"/>
  <c r="Y4" i="1" s="1"/>
  <c r="Y2" i="1"/>
  <c r="A40" i="1" l="1"/>
</calcChain>
</file>

<file path=xl/sharedStrings.xml><?xml version="1.0" encoding="utf-8"?>
<sst xmlns="http://schemas.openxmlformats.org/spreadsheetml/2006/main" count="117" uniqueCount="54">
  <si>
    <t>házszám</t>
  </si>
  <si>
    <t>emelet</t>
  </si>
  <si>
    <t>ajtó</t>
  </si>
  <si>
    <t>tulajdonos</t>
  </si>
  <si>
    <t>leolvasott egység</t>
  </si>
  <si>
    <t>leolvazott egység %-ban</t>
  </si>
  <si>
    <t>terhelés</t>
  </si>
  <si>
    <t>fogyasztás (GJ)</t>
  </si>
  <si>
    <t>Fizetendő</t>
  </si>
  <si>
    <t>eredeti arányszám</t>
  </si>
  <si>
    <t>eredeti hődíj</t>
  </si>
  <si>
    <t>többet fizet</t>
  </si>
  <si>
    <t>kevesebbet fizet</t>
  </si>
  <si>
    <t>3.</t>
  </si>
  <si>
    <t>fszt.</t>
  </si>
  <si>
    <t>1.</t>
  </si>
  <si>
    <t>Damjanovics Imola</t>
  </si>
  <si>
    <t>2.</t>
  </si>
  <si>
    <t>Trombitás Alfréd</t>
  </si>
  <si>
    <t>Gerencsér Anna</t>
  </si>
  <si>
    <t>4.</t>
  </si>
  <si>
    <t>Faragó Fülöp</t>
  </si>
  <si>
    <t>5.</t>
  </si>
  <si>
    <t>Gura Kamilla</t>
  </si>
  <si>
    <t>6.</t>
  </si>
  <si>
    <t>Ralovich Attila</t>
  </si>
  <si>
    <t>7.</t>
  </si>
  <si>
    <t>Bárkányi Borisz Noé</t>
  </si>
  <si>
    <t>8.</t>
  </si>
  <si>
    <t>Mogyoróssy Ferenc</t>
  </si>
  <si>
    <t>Jávor Eliza</t>
  </si>
  <si>
    <t>Nagy Rebeka</t>
  </si>
  <si>
    <t>Fabricius Dávid</t>
  </si>
  <si>
    <t>Porkoláb Elemér Virgil</t>
  </si>
  <si>
    <t>Pongor Leopoldné</t>
  </si>
  <si>
    <t>Telner Fábián</t>
  </si>
  <si>
    <t>Kiss Gábor</t>
  </si>
  <si>
    <t>Bús Endre</t>
  </si>
  <si>
    <t>Gombosné Wieser Rita</t>
  </si>
  <si>
    <t>Szabó Franciska</t>
  </si>
  <si>
    <t>Tóth József</t>
  </si>
  <si>
    <t>Ipolyi Janka</t>
  </si>
  <si>
    <t>Gedei Krisztoferné</t>
  </si>
  <si>
    <t>Holstein Dénes László</t>
  </si>
  <si>
    <t>Belicovics Magdaléna</t>
  </si>
  <si>
    <t>Mihálfy Sándor</t>
  </si>
  <si>
    <t>A ház teljes fogyasztása (GJ):</t>
  </si>
  <si>
    <t>Hődíj (Ft/GJ)</t>
  </si>
  <si>
    <t>Mekkora a lakások belmagassága?</t>
  </si>
  <si>
    <t>Hány tulajdonos fűtésköltsége csökkent az átállással?</t>
  </si>
  <si>
    <t>Melyik tulajdonos takarított meg legtöbbet az átállással?</t>
  </si>
  <si>
    <t>Hol lakik ez a tulajdonos?</t>
  </si>
  <si>
    <r>
      <t>lakás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</si>
  <si>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lakás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 xml:space="preserve"> %-ban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</si>
</sst>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164" formatCode="0.000%"/>
    <numFmt numFmtId="165" formatCode="0.00000"/>
    <numFmt numFmtId="166" formatCode="#,##0\ &quot;Ft&quot;"/>
    <numFmt numFmtId="167" formatCode="_-* #,##0\ [$Ft-40E]_-;\-* #,##0\ [$Ft-40E]_-;_-* &quot;-&quot;??\ [$Ft-40E]_-;_-@_-"/>
    <numFmt numFmtId="168" formatCode="_-* #,##0\ &quot;Ft&quot;_-;\-* #,##0\ &quot;Ft&quot;_-;_-* &quot;-&quot;??\ &quot;Ft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16" fillId="34" borderId="10" xfId="0" applyFont="1" applyFill="1" applyBorder="1" applyAlignment="1">
      <alignment horizontal="center" vertical="center"/>
    </xf>
    <xf numFmtId="0" fontId="16" fillId="34" borderId="11" xfId="0" applyFont="1" applyFill="1" applyBorder="1" applyAlignment="1">
      <alignment horizontal="center" vertical="center"/>
    </xf>
    <xf numFmtId="0" fontId="0" fillId="0" borderId="19" xfId="0" applyBorder="1"/>
    <xf numFmtId="0" fontId="16" fillId="34" borderId="16" xfId="0" applyFont="1" applyFill="1" applyBorder="1" applyAlignment="1">
      <alignment horizontal="center" vertical="center" wrapText="1"/>
    </xf>
    <xf numFmtId="0" fontId="0" fillId="35" borderId="17" xfId="0" applyFill="1" applyBorder="1"/>
    <xf numFmtId="0" fontId="20" fillId="36" borderId="21" xfId="0" applyFont="1" applyFill="1" applyBorder="1"/>
    <xf numFmtId="0" fontId="16" fillId="36" borderId="14" xfId="0" applyFont="1" applyFill="1" applyBorder="1"/>
    <xf numFmtId="0" fontId="20" fillId="36" borderId="14" xfId="0" applyFont="1" applyFill="1" applyBorder="1"/>
    <xf numFmtId="0" fontId="16" fillId="36" borderId="18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6" fillId="33" borderId="15" xfId="0" applyFont="1" applyFill="1" applyBorder="1" applyAlignment="1">
      <alignment horizontal="center" vertical="center"/>
    </xf>
    <xf numFmtId="0" fontId="16" fillId="33" borderId="25" xfId="0" applyFont="1" applyFill="1" applyBorder="1" applyAlignment="1">
      <alignment horizontal="center" vertical="center"/>
    </xf>
    <xf numFmtId="0" fontId="16" fillId="34" borderId="17" xfId="0" applyFont="1" applyFill="1" applyBorder="1" applyAlignment="1">
      <alignment horizontal="center" vertical="center"/>
    </xf>
    <xf numFmtId="11" fontId="16" fillId="33" borderId="22" xfId="0" applyNumberFormat="1" applyFont="1" applyFill="1" applyBorder="1" applyAlignment="1">
      <alignment horizontal="center" vertical="center" wrapText="1"/>
    </xf>
    <xf numFmtId="0" fontId="16" fillId="33" borderId="23" xfId="0" applyFont="1" applyFill="1" applyBorder="1" applyAlignment="1">
      <alignment horizontal="center" vertical="center" wrapText="1"/>
    </xf>
    <xf numFmtId="0" fontId="16" fillId="33" borderId="23" xfId="0" applyFont="1" applyFill="1" applyBorder="1" applyAlignment="1">
      <alignment horizontal="center" vertical="center"/>
    </xf>
    <xf numFmtId="0" fontId="16" fillId="33" borderId="24" xfId="0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6" fontId="0" fillId="0" borderId="12" xfId="0" applyNumberFormat="1" applyBorder="1" applyAlignment="1">
      <alignment horizontal="right" vertical="center"/>
    </xf>
    <xf numFmtId="0" fontId="0" fillId="35" borderId="17" xfId="0" applyFill="1" applyBorder="1" applyAlignment="1">
      <alignment horizontal="right" vertical="center"/>
    </xf>
    <xf numFmtId="0" fontId="0" fillId="35" borderId="20" xfId="0" applyFill="1" applyBorder="1" applyAlignment="1">
      <alignment horizontal="right" vertical="center"/>
    </xf>
    <xf numFmtId="0" fontId="0" fillId="35" borderId="13" xfId="0" applyFill="1" applyBorder="1" applyAlignment="1">
      <alignment horizontal="right" vertical="center"/>
    </xf>
    <xf numFmtId="0" fontId="0" fillId="35" borderId="0" xfId="0" applyFill="1" applyAlignment="1">
      <alignment horizontal="right" vertical="center"/>
    </xf>
    <xf numFmtId="0" fontId="0" fillId="33" borderId="22" xfId="0" applyFill="1" applyBorder="1" applyAlignment="1">
      <alignment horizontal="right" vertical="center"/>
    </xf>
    <xf numFmtId="0" fontId="0" fillId="33" borderId="23" xfId="0" applyFill="1" applyBorder="1" applyAlignment="1">
      <alignment horizontal="right" vertical="center"/>
    </xf>
    <xf numFmtId="2" fontId="0" fillId="33" borderId="23" xfId="0" applyNumberFormat="1" applyFill="1" applyBorder="1" applyAlignment="1">
      <alignment horizontal="right" vertical="center"/>
    </xf>
    <xf numFmtId="168" fontId="0" fillId="33" borderId="24" xfId="1" applyNumberFormat="1" applyFont="1" applyFill="1" applyBorder="1" applyAlignment="1">
      <alignment horizontal="right" vertical="center"/>
    </xf>
    <xf numFmtId="9" fontId="0" fillId="33" borderId="24" xfId="2" applyFont="1" applyFill="1" applyBorder="1" applyAlignment="1">
      <alignment horizontal="right" vertical="center"/>
    </xf>
    <xf numFmtId="9" fontId="0" fillId="33" borderId="26" xfId="0" applyNumberFormat="1" applyFill="1" applyBorder="1" applyAlignment="1">
      <alignment horizontal="right" vertical="center"/>
    </xf>
    <xf numFmtId="0" fontId="0" fillId="33" borderId="26" xfId="0" applyFill="1" applyBorder="1" applyAlignment="1">
      <alignment horizontal="right" vertical="center"/>
    </xf>
    <xf numFmtId="9" fontId="0" fillId="33" borderId="27" xfId="0" applyNumberFormat="1" applyFill="1" applyBorder="1" applyAlignment="1">
      <alignment horizontal="right" vertical="center"/>
    </xf>
    <xf numFmtId="167" fontId="0" fillId="33" borderId="28" xfId="0" applyNumberFormat="1" applyFill="1" applyBorder="1" applyAlignment="1">
      <alignment horizontal="right" vertical="center"/>
    </xf>
    <xf numFmtId="9" fontId="0" fillId="33" borderId="29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33" borderId="22" xfId="0" applyFill="1" applyBorder="1" applyAlignment="1">
      <alignment horizontal="left" vertical="center"/>
    </xf>
    <xf numFmtId="0" fontId="0" fillId="33" borderId="23" xfId="0" applyFill="1" applyBorder="1" applyAlignment="1">
      <alignment horizontal="left" vertical="center"/>
    </xf>
    <xf numFmtId="0" fontId="0" fillId="33" borderId="24" xfId="0" applyFill="1" applyBorder="1" applyAlignment="1">
      <alignment horizontal="left" vertical="center"/>
    </xf>
  </cellXfs>
  <cellStyles count="44">
    <cellStyle name="20% - 1. jelölőszín" xfId="21" builtinId="30" customBuiltin="1"/>
    <cellStyle name="20% - 2. jelölőszín" xfId="25" builtinId="34" customBuiltin="1"/>
    <cellStyle name="20% - 3. jelölőszín" xfId="29" builtinId="38" customBuiltin="1"/>
    <cellStyle name="20% - 4. jelölőszín" xfId="33" builtinId="42" customBuiltin="1"/>
    <cellStyle name="20% - 5. jelölőszín" xfId="37" builtinId="46" customBuiltin="1"/>
    <cellStyle name="20% - 6. jelölőszín" xfId="41" builtinId="50" customBuiltin="1"/>
    <cellStyle name="40% - 1. jelölőszín" xfId="22" builtinId="31" customBuiltin="1"/>
    <cellStyle name="40% - 2. jelölőszín" xfId="26" builtinId="35" customBuiltin="1"/>
    <cellStyle name="40% - 3. jelölőszín" xfId="30" builtinId="39" customBuiltin="1"/>
    <cellStyle name="40% - 4. jelölőszín" xfId="34" builtinId="43" customBuiltin="1"/>
    <cellStyle name="40% - 5. jelölőszín" xfId="38" builtinId="47" customBuiltin="1"/>
    <cellStyle name="40% - 6. jelölőszín" xfId="42" builtinId="51" customBuiltin="1"/>
    <cellStyle name="60% - 1. jelölőszín" xfId="23" builtinId="32" customBuiltin="1"/>
    <cellStyle name="60% - 2. jelölőszín" xfId="27" builtinId="36" customBuiltin="1"/>
    <cellStyle name="60% - 3. jelölőszín" xfId="31" builtinId="40" customBuiltin="1"/>
    <cellStyle name="60% - 4. jelölőszín" xfId="35" builtinId="44" customBuiltin="1"/>
    <cellStyle name="60% - 5. jelölőszín" xfId="39" builtinId="48" customBuiltin="1"/>
    <cellStyle name="60% - 6. jelölőszín" xfId="43" builtinId="52" customBuiltin="1"/>
    <cellStyle name="Bevitel" xfId="11" builtinId="20" customBuiltin="1"/>
    <cellStyle name="Cím" xfId="3" builtinId="15" customBuiltin="1"/>
    <cellStyle name="Címsor 1" xfId="4" builtinId="16" customBuiltin="1"/>
    <cellStyle name="Címsor 2" xfId="5" builtinId="17" customBuiltin="1"/>
    <cellStyle name="Címsor 3" xfId="6" builtinId="18" customBuiltin="1"/>
    <cellStyle name="Címsor 4" xfId="7" builtinId="19" customBuiltin="1"/>
    <cellStyle name="Ellenőrzőcella" xfId="15" builtinId="23" customBuiltin="1"/>
    <cellStyle name="Figyelmeztetés" xfId="16" builtinId="11" customBuiltin="1"/>
    <cellStyle name="Hivatkozott cella" xfId="14" builtinId="24" customBuiltin="1"/>
    <cellStyle name="Jegyzet" xfId="17" builtinId="10" customBuiltin="1"/>
    <cellStyle name="Jelölőszín 1" xfId="20" builtinId="29" customBuiltin="1"/>
    <cellStyle name="Jelölőszín 2" xfId="24" builtinId="33" customBuiltin="1"/>
    <cellStyle name="Jelölőszín 3" xfId="28" builtinId="37" customBuiltin="1"/>
    <cellStyle name="Jelölőszín 4" xfId="32" builtinId="41" customBuiltin="1"/>
    <cellStyle name="Jelölőszín 5" xfId="36" builtinId="45" customBuiltin="1"/>
    <cellStyle name="Jelölőszín 6" xfId="40" builtinId="49" customBuiltin="1"/>
    <cellStyle name="Jó" xfId="8" builtinId="26" customBuiltin="1"/>
    <cellStyle name="Kimenet" xfId="12" builtinId="21" customBuiltin="1"/>
    <cellStyle name="Magyarázó szöveg" xfId="18" builtinId="53" customBuiltin="1"/>
    <cellStyle name="Normál" xfId="0" builtinId="0"/>
    <cellStyle name="Összesen" xfId="19" builtinId="25" customBuiltin="1"/>
    <cellStyle name="Pénznem" xfId="1" builtinId="4"/>
    <cellStyle name="Rossz" xfId="9" builtinId="27" customBuiltin="1"/>
    <cellStyle name="Semleges" xfId="10" builtinId="28" customBuiltin="1"/>
    <cellStyle name="Számítás" xfId="13" builtinId="22" customBuiltin="1"/>
    <cellStyle name="Százalék" xfId="2" builtinId="5"/>
  </cellStyles>
  <dxfs count="2">
    <dxf>
      <fill>
        <patternFill>
          <bgColor theme="8" tint="0.79998168889431442"/>
        </patternFill>
      </fill>
      <border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tabSelected="1" topLeftCell="H18" zoomScale="95" zoomScaleNormal="95" workbookViewId="0">
      <selection activeCell="A41" sqref="A41"/>
    </sheetView>
  </sheetViews>
  <sheetFormatPr defaultRowHeight="15" x14ac:dyDescent="0.25"/>
  <cols>
    <col min="1" max="1" width="14.42578125" bestFit="1" customWidth="1"/>
    <col min="2" max="2" width="8.7109375" customWidth="1"/>
    <col min="3" max="3" width="4.7109375" customWidth="1"/>
    <col min="4" max="4" width="27.5703125" bestFit="1" customWidth="1"/>
    <col min="5" max="5" width="7.5703125" customWidth="1"/>
    <col min="6" max="6" width="9.28515625" customWidth="1"/>
    <col min="7" max="7" width="13.28515625" customWidth="1"/>
    <col min="8" max="8" width="15.5703125" customWidth="1"/>
    <col min="10" max="10" width="12.42578125" customWidth="1"/>
    <col min="11" max="11" width="13.140625" customWidth="1"/>
    <col min="13" max="13" width="14.140625" customWidth="1"/>
    <col min="14" max="14" width="12.5703125" bestFit="1" customWidth="1"/>
    <col min="15" max="15" width="10.28515625" customWidth="1"/>
    <col min="16" max="16" width="14" customWidth="1"/>
    <col min="20" max="20" width="11.140625" bestFit="1" customWidth="1"/>
    <col min="21" max="21" width="21.5703125" bestFit="1" customWidth="1"/>
  </cols>
  <sheetData>
    <row r="1" spans="1:25" s="1" customFormat="1" ht="36.75" customHeight="1" x14ac:dyDescent="0.25">
      <c r="A1" s="12" t="s">
        <v>0</v>
      </c>
      <c r="B1" s="12" t="s">
        <v>1</v>
      </c>
      <c r="C1" s="12" t="s">
        <v>2</v>
      </c>
      <c r="D1" s="13" t="s">
        <v>3</v>
      </c>
      <c r="E1" s="15" t="s">
        <v>52</v>
      </c>
      <c r="F1" s="16" t="s">
        <v>53</v>
      </c>
      <c r="G1" s="16" t="s">
        <v>4</v>
      </c>
      <c r="H1" s="16" t="s">
        <v>5</v>
      </c>
      <c r="I1" s="17" t="s">
        <v>6</v>
      </c>
      <c r="J1" s="16" t="s">
        <v>7</v>
      </c>
      <c r="K1" s="18" t="s">
        <v>8</v>
      </c>
      <c r="L1" s="14"/>
      <c r="M1" s="4" t="s">
        <v>9</v>
      </c>
      <c r="N1" s="4" t="s">
        <v>10</v>
      </c>
      <c r="O1" s="4" t="s">
        <v>11</v>
      </c>
      <c r="P1" s="4" t="s">
        <v>12</v>
      </c>
      <c r="Q1" s="2"/>
    </row>
    <row r="2" spans="1:25" x14ac:dyDescent="0.25">
      <c r="A2" s="3" t="s">
        <v>13</v>
      </c>
      <c r="B2" s="21" t="s">
        <v>14</v>
      </c>
      <c r="C2" s="20" t="s">
        <v>15</v>
      </c>
      <c r="D2" s="20" t="s">
        <v>16</v>
      </c>
      <c r="E2" s="22">
        <v>135</v>
      </c>
      <c r="F2" s="23">
        <f t="shared" ref="F2:F25" si="0">E2/$S$2*0.3</f>
        <v>9.9264705882352935E-3</v>
      </c>
      <c r="G2" s="20">
        <v>56.4</v>
      </c>
      <c r="H2" s="23">
        <f>G2/$S$3*0.7</f>
        <v>1.8404736375926527E-2</v>
      </c>
      <c r="I2" s="23">
        <f>F2+H2</f>
        <v>2.8331206964161821E-2</v>
      </c>
      <c r="J2" s="24">
        <f>I2*$D$29</f>
        <v>4.3630058724809206</v>
      </c>
      <c r="K2" s="25">
        <f>J2*$D$31</f>
        <v>11924.749500371228</v>
      </c>
      <c r="L2" s="22"/>
      <c r="M2" s="26">
        <f>E2/$S$2</f>
        <v>3.3088235294117647E-2</v>
      </c>
      <c r="N2" s="27">
        <f>M2*$D$29*$D$31</f>
        <v>13927.006985294118</v>
      </c>
      <c r="O2" s="27" t="str">
        <f>IF(N2&lt;K2,K2-N2," ")</f>
        <v xml:space="preserve"> </v>
      </c>
      <c r="P2" s="27">
        <f>IF(N2&gt;K2,N2-K2," ")</f>
        <v>2002.2574849228895</v>
      </c>
      <c r="S2">
        <f>SUM($E$2:$E$25)</f>
        <v>4080</v>
      </c>
      <c r="T2" s="19">
        <f>P2</f>
        <v>2002.2574849228895</v>
      </c>
      <c r="U2" t="str">
        <f>D2</f>
        <v>Damjanovics Imola</v>
      </c>
      <c r="V2" t="str">
        <f>A2</f>
        <v>3.</v>
      </c>
      <c r="W2" t="str">
        <f>B2</f>
        <v>fszt.</v>
      </c>
      <c r="X2" t="str">
        <f>C2</f>
        <v>1.</v>
      </c>
      <c r="Y2" t="str">
        <f>VLOOKUP(A38,U2:X25,2,FALSE)</f>
        <v>5.</v>
      </c>
    </row>
    <row r="3" spans="1:25" x14ac:dyDescent="0.25">
      <c r="A3" s="5" t="s">
        <v>13</v>
      </c>
      <c r="B3" s="28" t="s">
        <v>14</v>
      </c>
      <c r="C3" s="28" t="s">
        <v>17</v>
      </c>
      <c r="D3" s="28" t="s">
        <v>18</v>
      </c>
      <c r="E3" s="29">
        <v>205</v>
      </c>
      <c r="F3" s="23">
        <f t="shared" si="0"/>
        <v>1.5073529411764706E-2</v>
      </c>
      <c r="G3" s="28">
        <v>142.80000000000001</v>
      </c>
      <c r="H3" s="23">
        <f t="shared" ref="H3:H25" si="1">G3/$S$3*0.7</f>
        <v>4.6599226143303342E-2</v>
      </c>
      <c r="I3" s="23">
        <f t="shared" ref="I3:I25" si="2">F3+H3</f>
        <v>6.167275555506805E-2</v>
      </c>
      <c r="J3" s="24">
        <f t="shared" ref="J3:J25" si="3">I3*$D$29</f>
        <v>9.4976043554804797</v>
      </c>
      <c r="K3" s="25">
        <f t="shared" ref="K3:K24" si="4">J3*$D$31</f>
        <v>25958.377344181474</v>
      </c>
      <c r="L3" s="29"/>
      <c r="M3" s="26">
        <f t="shared" ref="M3:M25" si="5">E3/$S$2</f>
        <v>5.0245098039215688E-2</v>
      </c>
      <c r="N3" s="27">
        <f t="shared" ref="N3:N25" si="6">M3*$D$29*$D$31</f>
        <v>21148.418014705883</v>
      </c>
      <c r="O3" s="27">
        <f t="shared" ref="O3:O25" si="7">IF(N3&lt;K3,K3-N3," ")</f>
        <v>4809.9593294755905</v>
      </c>
      <c r="P3" s="27" t="str">
        <f t="shared" ref="P3:P25" si="8">IF(N3&gt;K3,N3-K3," ")</f>
        <v xml:space="preserve"> </v>
      </c>
      <c r="S3">
        <f>SUM(G2:G25)</f>
        <v>2145.1</v>
      </c>
      <c r="T3" s="19" t="str">
        <f t="shared" ref="T3:T25" si="9">P3</f>
        <v xml:space="preserve"> </v>
      </c>
      <c r="U3" t="str">
        <f t="shared" ref="U3:U25" si="10">D3</f>
        <v>Trombitás Alfréd</v>
      </c>
      <c r="V3" t="str">
        <f t="shared" ref="V3:V25" si="11">A3</f>
        <v>3.</v>
      </c>
      <c r="W3" t="str">
        <f t="shared" ref="W3:W25" si="12">B3</f>
        <v>fszt.</v>
      </c>
      <c r="X3" t="str">
        <f t="shared" ref="X3:X25" si="13">C3</f>
        <v>2.</v>
      </c>
      <c r="Y3" t="str">
        <f>VLOOKUP(A38,U2:X25,3,FALSE)</f>
        <v>fszt.</v>
      </c>
    </row>
    <row r="4" spans="1:25" x14ac:dyDescent="0.25">
      <c r="A4" t="s">
        <v>13</v>
      </c>
      <c r="B4" s="20" t="s">
        <v>15</v>
      </c>
      <c r="C4" s="20" t="s">
        <v>13</v>
      </c>
      <c r="D4" s="20" t="s">
        <v>19</v>
      </c>
      <c r="E4" s="22">
        <v>135</v>
      </c>
      <c r="F4" s="23">
        <f t="shared" si="0"/>
        <v>9.9264705882352935E-3</v>
      </c>
      <c r="G4" s="20">
        <v>88.3</v>
      </c>
      <c r="H4" s="23">
        <f t="shared" si="1"/>
        <v>2.8814507482168662E-2</v>
      </c>
      <c r="I4" s="23">
        <f t="shared" si="2"/>
        <v>3.8740978070403956E-2</v>
      </c>
      <c r="J4" s="24">
        <f t="shared" si="3"/>
        <v>5.9661106228422094</v>
      </c>
      <c r="K4" s="25">
        <f t="shared" si="4"/>
        <v>16306.275248821185</v>
      </c>
      <c r="L4" s="22"/>
      <c r="M4" s="26">
        <f t="shared" si="5"/>
        <v>3.3088235294117647E-2</v>
      </c>
      <c r="N4" s="27">
        <f t="shared" si="6"/>
        <v>13927.006985294118</v>
      </c>
      <c r="O4" s="27">
        <f t="shared" si="7"/>
        <v>2379.2682635270667</v>
      </c>
      <c r="P4" s="27" t="str">
        <f t="shared" si="8"/>
        <v xml:space="preserve"> </v>
      </c>
      <c r="S4">
        <f>MAX(P2:P25)</f>
        <v>5010.2641899716054</v>
      </c>
      <c r="T4" s="19" t="str">
        <f t="shared" si="9"/>
        <v xml:space="preserve"> </v>
      </c>
      <c r="U4" t="str">
        <f t="shared" si="10"/>
        <v>Gerencsér Anna</v>
      </c>
      <c r="V4" t="str">
        <f t="shared" si="11"/>
        <v>3.</v>
      </c>
      <c r="W4" t="str">
        <f t="shared" si="12"/>
        <v>1.</v>
      </c>
      <c r="X4" t="str">
        <f t="shared" si="13"/>
        <v>3.</v>
      </c>
      <c r="Y4" t="str">
        <f>IF(Y3="fszt.",Y3,CONCATENATE(Y3," em."))</f>
        <v>fszt.</v>
      </c>
    </row>
    <row r="5" spans="1:25" x14ac:dyDescent="0.25">
      <c r="A5" s="5" t="s">
        <v>13</v>
      </c>
      <c r="B5" s="28" t="s">
        <v>15</v>
      </c>
      <c r="C5" s="28" t="s">
        <v>20</v>
      </c>
      <c r="D5" s="28" t="s">
        <v>21</v>
      </c>
      <c r="E5" s="29">
        <v>205</v>
      </c>
      <c r="F5" s="23">
        <f t="shared" si="0"/>
        <v>1.5073529411764706E-2</v>
      </c>
      <c r="G5" s="28">
        <v>146.19999999999999</v>
      </c>
      <c r="H5" s="23">
        <f t="shared" si="1"/>
        <v>4.7708731527667705E-2</v>
      </c>
      <c r="I5" s="23">
        <f t="shared" si="2"/>
        <v>6.2782260939432413E-2</v>
      </c>
      <c r="J5" s="24">
        <f t="shared" si="3"/>
        <v>9.6684681846725908</v>
      </c>
      <c r="K5" s="25">
        <f t="shared" si="4"/>
        <v>26425.373818937893</v>
      </c>
      <c r="L5" s="29"/>
      <c r="M5" s="26">
        <f t="shared" si="5"/>
        <v>5.0245098039215688E-2</v>
      </c>
      <c r="N5" s="27">
        <f t="shared" si="6"/>
        <v>21148.418014705883</v>
      </c>
      <c r="O5" s="27">
        <f t="shared" si="7"/>
        <v>5276.9558042320095</v>
      </c>
      <c r="P5" s="27" t="str">
        <f t="shared" si="8"/>
        <v xml:space="preserve"> </v>
      </c>
      <c r="T5" s="19" t="str">
        <f t="shared" si="9"/>
        <v xml:space="preserve"> </v>
      </c>
      <c r="U5" t="str">
        <f t="shared" si="10"/>
        <v>Faragó Fülöp</v>
      </c>
      <c r="V5" t="str">
        <f t="shared" si="11"/>
        <v>3.</v>
      </c>
      <c r="W5" t="str">
        <f t="shared" si="12"/>
        <v>1.</v>
      </c>
      <c r="X5" t="str">
        <f t="shared" si="13"/>
        <v>4.</v>
      </c>
      <c r="Y5" t="str">
        <f>VLOOKUP(A38,U2:X25,4,FALSE)</f>
        <v>1.</v>
      </c>
    </row>
    <row r="6" spans="1:25" x14ac:dyDescent="0.25">
      <c r="A6" t="s">
        <v>13</v>
      </c>
      <c r="B6" s="20" t="s">
        <v>17</v>
      </c>
      <c r="C6" s="20" t="s">
        <v>22</v>
      </c>
      <c r="D6" s="20" t="s">
        <v>23</v>
      </c>
      <c r="E6" s="22">
        <v>135</v>
      </c>
      <c r="F6" s="23">
        <f t="shared" si="0"/>
        <v>9.9264705882352935E-3</v>
      </c>
      <c r="G6" s="20">
        <v>64.8</v>
      </c>
      <c r="H6" s="23">
        <f t="shared" si="1"/>
        <v>2.1145867325532607E-2</v>
      </c>
      <c r="I6" s="23">
        <f t="shared" si="2"/>
        <v>3.10723379137679E-2</v>
      </c>
      <c r="J6" s="24">
        <f t="shared" si="3"/>
        <v>4.7851400387202565</v>
      </c>
      <c r="K6" s="25">
        <f t="shared" si="4"/>
        <v>13078.505496828269</v>
      </c>
      <c r="L6" s="22"/>
      <c r="M6" s="26">
        <f t="shared" si="5"/>
        <v>3.3088235294117647E-2</v>
      </c>
      <c r="N6" s="27">
        <f t="shared" si="6"/>
        <v>13927.006985294118</v>
      </c>
      <c r="O6" s="27" t="str">
        <f t="shared" si="7"/>
        <v xml:space="preserve"> </v>
      </c>
      <c r="P6" s="27">
        <f t="shared" si="8"/>
        <v>848.50148846584852</v>
      </c>
      <c r="T6" s="19">
        <f t="shared" si="9"/>
        <v>848.50148846584852</v>
      </c>
      <c r="U6" t="str">
        <f t="shared" si="10"/>
        <v>Gura Kamilla</v>
      </c>
      <c r="V6" t="str">
        <f t="shared" si="11"/>
        <v>3.</v>
      </c>
      <c r="W6" t="str">
        <f t="shared" si="12"/>
        <v>2.</v>
      </c>
      <c r="X6" t="str">
        <f t="shared" si="13"/>
        <v>5.</v>
      </c>
      <c r="Y6" s="11">
        <f>VLOOKUP(A38,D2:E25,2,FALSE)</f>
        <v>135</v>
      </c>
    </row>
    <row r="7" spans="1:25" x14ac:dyDescent="0.25">
      <c r="A7" s="5" t="s">
        <v>13</v>
      </c>
      <c r="B7" s="28" t="s">
        <v>17</v>
      </c>
      <c r="C7" s="28" t="s">
        <v>24</v>
      </c>
      <c r="D7" s="28" t="s">
        <v>25</v>
      </c>
      <c r="E7" s="29">
        <v>205</v>
      </c>
      <c r="F7" s="23">
        <f t="shared" si="0"/>
        <v>1.5073529411764706E-2</v>
      </c>
      <c r="G7" s="28">
        <v>125.8</v>
      </c>
      <c r="H7" s="23">
        <f t="shared" si="1"/>
        <v>4.1051699221481518E-2</v>
      </c>
      <c r="I7" s="23">
        <f t="shared" si="2"/>
        <v>5.6125228633246226E-2</v>
      </c>
      <c r="J7" s="24">
        <f t="shared" si="3"/>
        <v>8.6432852095199184</v>
      </c>
      <c r="K7" s="25">
        <f t="shared" si="4"/>
        <v>23623.394970399368</v>
      </c>
      <c r="L7" s="29"/>
      <c r="M7" s="26">
        <f t="shared" si="5"/>
        <v>5.0245098039215688E-2</v>
      </c>
      <c r="N7" s="27">
        <f t="shared" si="6"/>
        <v>21148.418014705883</v>
      </c>
      <c r="O7" s="27">
        <f t="shared" si="7"/>
        <v>2474.9769556934843</v>
      </c>
      <c r="P7" s="27" t="str">
        <f t="shared" si="8"/>
        <v xml:space="preserve"> </v>
      </c>
      <c r="T7" s="19" t="str">
        <f t="shared" si="9"/>
        <v xml:space="preserve"> </v>
      </c>
      <c r="U7" t="str">
        <f t="shared" si="10"/>
        <v>Ralovich Attila</v>
      </c>
      <c r="V7" t="str">
        <f t="shared" si="11"/>
        <v>3.</v>
      </c>
      <c r="W7" t="str">
        <f t="shared" si="12"/>
        <v>2.</v>
      </c>
      <c r="X7" t="str">
        <f t="shared" si="13"/>
        <v>6.</v>
      </c>
      <c r="Y7" s="10">
        <f>IF(Y6=135,50,70)</f>
        <v>50</v>
      </c>
    </row>
    <row r="8" spans="1:25" x14ac:dyDescent="0.25">
      <c r="A8" t="s">
        <v>13</v>
      </c>
      <c r="B8" s="20" t="s">
        <v>13</v>
      </c>
      <c r="C8" s="20" t="s">
        <v>26</v>
      </c>
      <c r="D8" s="20" t="s">
        <v>27</v>
      </c>
      <c r="E8" s="22">
        <v>135</v>
      </c>
      <c r="F8" s="23">
        <f t="shared" si="0"/>
        <v>9.9264705882352935E-3</v>
      </c>
      <c r="G8" s="20">
        <v>56.7</v>
      </c>
      <c r="H8" s="23">
        <f t="shared" si="1"/>
        <v>1.8502633909841033E-2</v>
      </c>
      <c r="I8" s="23">
        <f t="shared" si="2"/>
        <v>2.8429104498076327E-2</v>
      </c>
      <c r="J8" s="24">
        <f t="shared" si="3"/>
        <v>4.378082092703754</v>
      </c>
      <c r="K8" s="25">
        <f t="shared" si="4"/>
        <v>11965.955071673267</v>
      </c>
      <c r="L8" s="22"/>
      <c r="M8" s="26">
        <f t="shared" si="5"/>
        <v>3.3088235294117647E-2</v>
      </c>
      <c r="N8" s="27">
        <f t="shared" si="6"/>
        <v>13927.006985294118</v>
      </c>
      <c r="O8" s="27" t="str">
        <f t="shared" si="7"/>
        <v xml:space="preserve"> </v>
      </c>
      <c r="P8" s="27">
        <f t="shared" si="8"/>
        <v>1961.0519136208513</v>
      </c>
      <c r="T8" s="19">
        <f t="shared" si="9"/>
        <v>1961.0519136208513</v>
      </c>
      <c r="U8" t="str">
        <f t="shared" si="10"/>
        <v>Bárkányi Borisz Noé</v>
      </c>
      <c r="V8" t="str">
        <f t="shared" si="11"/>
        <v>3.</v>
      </c>
      <c r="W8" t="str">
        <f t="shared" si="12"/>
        <v>3.</v>
      </c>
      <c r="X8" t="str">
        <f t="shared" si="13"/>
        <v>7.</v>
      </c>
    </row>
    <row r="9" spans="1:25" x14ac:dyDescent="0.25">
      <c r="A9" s="5" t="s">
        <v>13</v>
      </c>
      <c r="B9" s="28" t="s">
        <v>13</v>
      </c>
      <c r="C9" s="28" t="s">
        <v>28</v>
      </c>
      <c r="D9" s="28" t="s">
        <v>29</v>
      </c>
      <c r="E9" s="29">
        <v>205</v>
      </c>
      <c r="F9" s="23">
        <f t="shared" si="0"/>
        <v>1.5073529411764706E-2</v>
      </c>
      <c r="G9" s="28">
        <v>96.5</v>
      </c>
      <c r="H9" s="23">
        <f t="shared" si="1"/>
        <v>3.1490373409165072E-2</v>
      </c>
      <c r="I9" s="23">
        <f t="shared" si="2"/>
        <v>4.656390282092978E-2</v>
      </c>
      <c r="J9" s="24">
        <f t="shared" si="3"/>
        <v>7.1708410344231863</v>
      </c>
      <c r="K9" s="25">
        <f t="shared" si="4"/>
        <v>19598.984173233734</v>
      </c>
      <c r="L9" s="29"/>
      <c r="M9" s="26">
        <f t="shared" si="5"/>
        <v>5.0245098039215688E-2</v>
      </c>
      <c r="N9" s="27">
        <f t="shared" si="6"/>
        <v>21148.418014705883</v>
      </c>
      <c r="O9" s="27" t="str">
        <f t="shared" si="7"/>
        <v xml:space="preserve"> </v>
      </c>
      <c r="P9" s="27">
        <f t="shared" si="8"/>
        <v>1549.4338414721497</v>
      </c>
      <c r="T9" s="19">
        <f t="shared" si="9"/>
        <v>1549.4338414721497</v>
      </c>
      <c r="U9" t="str">
        <f t="shared" si="10"/>
        <v>Mogyoróssy Ferenc</v>
      </c>
      <c r="V9" t="str">
        <f t="shared" si="11"/>
        <v>3.</v>
      </c>
      <c r="W9" t="str">
        <f t="shared" si="12"/>
        <v>3.</v>
      </c>
      <c r="X9" t="str">
        <f t="shared" si="13"/>
        <v>8.</v>
      </c>
    </row>
    <row r="10" spans="1:25" x14ac:dyDescent="0.25">
      <c r="A10" t="s">
        <v>22</v>
      </c>
      <c r="B10" s="20" t="s">
        <v>14</v>
      </c>
      <c r="C10" s="20" t="s">
        <v>15</v>
      </c>
      <c r="D10" s="20" t="s">
        <v>30</v>
      </c>
      <c r="E10" s="22">
        <v>135</v>
      </c>
      <c r="F10" s="23">
        <f t="shared" si="0"/>
        <v>9.9264705882352935E-3</v>
      </c>
      <c r="G10" s="20">
        <v>34.5</v>
      </c>
      <c r="H10" s="23">
        <f t="shared" si="1"/>
        <v>1.1258216400167824E-2</v>
      </c>
      <c r="I10" s="23">
        <f t="shared" si="2"/>
        <v>2.1184686988403117E-2</v>
      </c>
      <c r="J10" s="24">
        <f t="shared" si="3"/>
        <v>3.2624417962140799</v>
      </c>
      <c r="K10" s="25">
        <f t="shared" si="4"/>
        <v>8916.7427953225124</v>
      </c>
      <c r="L10" s="22"/>
      <c r="M10" s="26">
        <f t="shared" si="5"/>
        <v>3.3088235294117647E-2</v>
      </c>
      <c r="N10" s="27">
        <f t="shared" si="6"/>
        <v>13927.006985294118</v>
      </c>
      <c r="O10" s="27" t="str">
        <f t="shared" si="7"/>
        <v xml:space="preserve"> </v>
      </c>
      <c r="P10" s="27">
        <f t="shared" si="8"/>
        <v>5010.2641899716054</v>
      </c>
      <c r="T10" s="19">
        <f t="shared" si="9"/>
        <v>5010.2641899716054</v>
      </c>
      <c r="U10" t="str">
        <f t="shared" si="10"/>
        <v>Jávor Eliza</v>
      </c>
      <c r="V10" t="str">
        <f t="shared" si="11"/>
        <v>5.</v>
      </c>
      <c r="W10" t="str">
        <f t="shared" si="12"/>
        <v>fszt.</v>
      </c>
      <c r="X10" t="str">
        <f t="shared" si="13"/>
        <v>1.</v>
      </c>
    </row>
    <row r="11" spans="1:25" x14ac:dyDescent="0.25">
      <c r="A11" s="5" t="s">
        <v>22</v>
      </c>
      <c r="B11" s="28" t="s">
        <v>14</v>
      </c>
      <c r="C11" s="28" t="s">
        <v>17</v>
      </c>
      <c r="D11" s="28" t="s">
        <v>31</v>
      </c>
      <c r="E11" s="29">
        <v>205</v>
      </c>
      <c r="F11" s="23">
        <f t="shared" si="0"/>
        <v>1.5073529411764706E-2</v>
      </c>
      <c r="G11" s="28">
        <v>119.5</v>
      </c>
      <c r="H11" s="23">
        <f t="shared" si="1"/>
        <v>3.8995851009276959E-2</v>
      </c>
      <c r="I11" s="23">
        <f t="shared" si="2"/>
        <v>5.4069380421041667E-2</v>
      </c>
      <c r="J11" s="24">
        <f t="shared" si="3"/>
        <v>8.3266845848404163</v>
      </c>
      <c r="K11" s="25">
        <f t="shared" si="4"/>
        <v>22758.077973056585</v>
      </c>
      <c r="L11" s="29"/>
      <c r="M11" s="26">
        <f t="shared" si="5"/>
        <v>5.0245098039215688E-2</v>
      </c>
      <c r="N11" s="27">
        <f t="shared" si="6"/>
        <v>21148.418014705883</v>
      </c>
      <c r="O11" s="27">
        <f t="shared" si="7"/>
        <v>1609.6599583507013</v>
      </c>
      <c r="P11" s="27" t="str">
        <f t="shared" si="8"/>
        <v xml:space="preserve"> </v>
      </c>
      <c r="T11" s="19" t="str">
        <f t="shared" si="9"/>
        <v xml:space="preserve"> </v>
      </c>
      <c r="U11" t="str">
        <f t="shared" si="10"/>
        <v>Nagy Rebeka</v>
      </c>
      <c r="V11" t="str">
        <f t="shared" si="11"/>
        <v>5.</v>
      </c>
      <c r="W11" t="str">
        <f t="shared" si="12"/>
        <v>fszt.</v>
      </c>
      <c r="X11" t="str">
        <f t="shared" si="13"/>
        <v>2.</v>
      </c>
    </row>
    <row r="12" spans="1:25" x14ac:dyDescent="0.25">
      <c r="A12" t="s">
        <v>22</v>
      </c>
      <c r="B12" s="20" t="s">
        <v>15</v>
      </c>
      <c r="C12" s="20" t="s">
        <v>13</v>
      </c>
      <c r="D12" s="20" t="s">
        <v>32</v>
      </c>
      <c r="E12" s="22">
        <v>135</v>
      </c>
      <c r="F12" s="23">
        <f t="shared" si="0"/>
        <v>9.9264705882352935E-3</v>
      </c>
      <c r="G12" s="20">
        <v>53.8</v>
      </c>
      <c r="H12" s="23">
        <f t="shared" si="1"/>
        <v>1.7556291082000838E-2</v>
      </c>
      <c r="I12" s="23">
        <f t="shared" si="2"/>
        <v>2.7482761670236132E-2</v>
      </c>
      <c r="J12" s="24">
        <f t="shared" si="3"/>
        <v>4.232345297216364</v>
      </c>
      <c r="K12" s="25">
        <f t="shared" si="4"/>
        <v>11567.634549086906</v>
      </c>
      <c r="L12" s="22"/>
      <c r="M12" s="26">
        <f t="shared" si="5"/>
        <v>3.3088235294117647E-2</v>
      </c>
      <c r="N12" s="27">
        <f t="shared" si="6"/>
        <v>13927.006985294118</v>
      </c>
      <c r="O12" s="27" t="str">
        <f t="shared" si="7"/>
        <v xml:space="preserve"> </v>
      </c>
      <c r="P12" s="27">
        <f t="shared" si="8"/>
        <v>2359.3724362072116</v>
      </c>
      <c r="T12" s="19">
        <f t="shared" si="9"/>
        <v>2359.3724362072116</v>
      </c>
      <c r="U12" t="str">
        <f t="shared" si="10"/>
        <v>Fabricius Dávid</v>
      </c>
      <c r="V12" t="str">
        <f t="shared" si="11"/>
        <v>5.</v>
      </c>
      <c r="W12" t="str">
        <f t="shared" si="12"/>
        <v>1.</v>
      </c>
      <c r="X12" t="str">
        <f t="shared" si="13"/>
        <v>3.</v>
      </c>
    </row>
    <row r="13" spans="1:25" x14ac:dyDescent="0.25">
      <c r="A13" s="5" t="s">
        <v>22</v>
      </c>
      <c r="B13" s="28" t="s">
        <v>15</v>
      </c>
      <c r="C13" s="28" t="s">
        <v>20</v>
      </c>
      <c r="D13" s="28" t="s">
        <v>33</v>
      </c>
      <c r="E13" s="29">
        <v>205</v>
      </c>
      <c r="F13" s="23">
        <f t="shared" si="0"/>
        <v>1.5073529411764706E-2</v>
      </c>
      <c r="G13" s="28">
        <v>127.9</v>
      </c>
      <c r="H13" s="23">
        <f t="shared" si="1"/>
        <v>4.1736981958883035E-2</v>
      </c>
      <c r="I13" s="23">
        <f t="shared" si="2"/>
        <v>5.6810511370647743E-2</v>
      </c>
      <c r="J13" s="24">
        <f t="shared" si="3"/>
        <v>8.748818751079753</v>
      </c>
      <c r="K13" s="25">
        <f t="shared" si="4"/>
        <v>23911.833969513627</v>
      </c>
      <c r="L13" s="29"/>
      <c r="M13" s="26">
        <f t="shared" si="5"/>
        <v>5.0245098039215688E-2</v>
      </c>
      <c r="N13" s="27">
        <f t="shared" si="6"/>
        <v>21148.418014705883</v>
      </c>
      <c r="O13" s="27">
        <f t="shared" si="7"/>
        <v>2763.4159548077441</v>
      </c>
      <c r="P13" s="27" t="str">
        <f t="shared" si="8"/>
        <v xml:space="preserve"> </v>
      </c>
      <c r="T13" s="19" t="str">
        <f t="shared" si="9"/>
        <v xml:space="preserve"> </v>
      </c>
      <c r="U13" t="str">
        <f t="shared" si="10"/>
        <v>Porkoláb Elemér Virgil</v>
      </c>
      <c r="V13" t="str">
        <f t="shared" si="11"/>
        <v>5.</v>
      </c>
      <c r="W13" t="str">
        <f t="shared" si="12"/>
        <v>1.</v>
      </c>
      <c r="X13" t="str">
        <f t="shared" si="13"/>
        <v>4.</v>
      </c>
    </row>
    <row r="14" spans="1:25" x14ac:dyDescent="0.25">
      <c r="A14" t="s">
        <v>22</v>
      </c>
      <c r="B14" s="20" t="s">
        <v>17</v>
      </c>
      <c r="C14" s="20" t="s">
        <v>22</v>
      </c>
      <c r="D14" s="20" t="s">
        <v>34</v>
      </c>
      <c r="E14" s="22">
        <v>135</v>
      </c>
      <c r="F14" s="23">
        <f t="shared" si="0"/>
        <v>9.9264705882352935E-3</v>
      </c>
      <c r="G14" s="20">
        <v>76</v>
      </c>
      <c r="H14" s="23">
        <f t="shared" si="1"/>
        <v>2.4800708591674048E-2</v>
      </c>
      <c r="I14" s="23">
        <f t="shared" si="2"/>
        <v>3.4727179179909341E-2</v>
      </c>
      <c r="J14" s="24">
        <f t="shared" si="3"/>
        <v>5.3479855937060385</v>
      </c>
      <c r="K14" s="25">
        <f t="shared" si="4"/>
        <v>14616.84682543766</v>
      </c>
      <c r="L14" s="22"/>
      <c r="M14" s="26">
        <f t="shared" si="5"/>
        <v>3.3088235294117647E-2</v>
      </c>
      <c r="N14" s="27">
        <f t="shared" si="6"/>
        <v>13927.006985294118</v>
      </c>
      <c r="O14" s="27">
        <f t="shared" si="7"/>
        <v>689.83984014354246</v>
      </c>
      <c r="P14" s="27" t="str">
        <f t="shared" si="8"/>
        <v xml:space="preserve"> </v>
      </c>
      <c r="T14" s="19" t="str">
        <f t="shared" si="9"/>
        <v xml:space="preserve"> </v>
      </c>
      <c r="U14" t="str">
        <f t="shared" si="10"/>
        <v>Pongor Leopoldné</v>
      </c>
      <c r="V14" t="str">
        <f t="shared" si="11"/>
        <v>5.</v>
      </c>
      <c r="W14" t="str">
        <f t="shared" si="12"/>
        <v>2.</v>
      </c>
      <c r="X14" t="str">
        <f t="shared" si="13"/>
        <v>5.</v>
      </c>
    </row>
    <row r="15" spans="1:25" x14ac:dyDescent="0.25">
      <c r="A15" s="5" t="s">
        <v>22</v>
      </c>
      <c r="B15" s="28" t="s">
        <v>17</v>
      </c>
      <c r="C15" s="28" t="s">
        <v>24</v>
      </c>
      <c r="D15" s="28" t="s">
        <v>35</v>
      </c>
      <c r="E15" s="29">
        <v>205</v>
      </c>
      <c r="F15" s="23">
        <f t="shared" si="0"/>
        <v>1.5073529411764706E-2</v>
      </c>
      <c r="G15" s="28">
        <v>102.5</v>
      </c>
      <c r="H15" s="23">
        <f t="shared" si="1"/>
        <v>3.3448324087455128E-2</v>
      </c>
      <c r="I15" s="23">
        <f t="shared" si="2"/>
        <v>4.8521853499219836E-2</v>
      </c>
      <c r="J15" s="24">
        <f t="shared" si="3"/>
        <v>7.472365438879855</v>
      </c>
      <c r="K15" s="25">
        <f t="shared" si="4"/>
        <v>20423.095599274475</v>
      </c>
      <c r="L15" s="29"/>
      <c r="M15" s="26">
        <f t="shared" si="5"/>
        <v>5.0245098039215688E-2</v>
      </c>
      <c r="N15" s="27">
        <f t="shared" si="6"/>
        <v>21148.418014705883</v>
      </c>
      <c r="O15" s="27" t="str">
        <f t="shared" si="7"/>
        <v xml:space="preserve"> </v>
      </c>
      <c r="P15" s="27">
        <f t="shared" si="8"/>
        <v>725.32241543140844</v>
      </c>
      <c r="T15" s="19">
        <f t="shared" si="9"/>
        <v>725.32241543140844</v>
      </c>
      <c r="U15" t="str">
        <f t="shared" si="10"/>
        <v>Telner Fábián</v>
      </c>
      <c r="V15" t="str">
        <f t="shared" si="11"/>
        <v>5.</v>
      </c>
      <c r="W15" t="str">
        <f t="shared" si="12"/>
        <v>2.</v>
      </c>
      <c r="X15" t="str">
        <f t="shared" si="13"/>
        <v>6.</v>
      </c>
    </row>
    <row r="16" spans="1:25" x14ac:dyDescent="0.25">
      <c r="A16" t="s">
        <v>22</v>
      </c>
      <c r="B16" s="20" t="s">
        <v>13</v>
      </c>
      <c r="C16" s="20" t="s">
        <v>26</v>
      </c>
      <c r="D16" s="20" t="s">
        <v>36</v>
      </c>
      <c r="E16" s="22">
        <v>135</v>
      </c>
      <c r="F16" s="23">
        <f t="shared" si="0"/>
        <v>9.9264705882352935E-3</v>
      </c>
      <c r="G16" s="20">
        <v>42.9</v>
      </c>
      <c r="H16" s="23">
        <f t="shared" si="1"/>
        <v>1.3999347349773901E-2</v>
      </c>
      <c r="I16" s="23">
        <f t="shared" si="2"/>
        <v>2.3925817938009193E-2</v>
      </c>
      <c r="J16" s="24">
        <f t="shared" si="3"/>
        <v>3.6845759624534158</v>
      </c>
      <c r="K16" s="25">
        <f t="shared" si="4"/>
        <v>10070.498791779553</v>
      </c>
      <c r="L16" s="22"/>
      <c r="M16" s="26">
        <f t="shared" si="5"/>
        <v>3.3088235294117647E-2</v>
      </c>
      <c r="N16" s="27">
        <f t="shared" si="6"/>
        <v>13927.006985294118</v>
      </c>
      <c r="O16" s="27" t="str">
        <f t="shared" si="7"/>
        <v xml:space="preserve"> </v>
      </c>
      <c r="P16" s="27">
        <f t="shared" si="8"/>
        <v>3856.5081935145645</v>
      </c>
      <c r="T16" s="19">
        <f t="shared" si="9"/>
        <v>3856.5081935145645</v>
      </c>
      <c r="U16" t="str">
        <f t="shared" si="10"/>
        <v>Kiss Gábor</v>
      </c>
      <c r="V16" t="str">
        <f t="shared" si="11"/>
        <v>5.</v>
      </c>
      <c r="W16" t="str">
        <f t="shared" si="12"/>
        <v>3.</v>
      </c>
      <c r="X16" t="str">
        <f t="shared" si="13"/>
        <v>7.</v>
      </c>
    </row>
    <row r="17" spans="1:24" x14ac:dyDescent="0.25">
      <c r="A17" s="5" t="s">
        <v>22</v>
      </c>
      <c r="B17" s="28" t="s">
        <v>13</v>
      </c>
      <c r="C17" s="28" t="s">
        <v>28</v>
      </c>
      <c r="D17" s="28" t="s">
        <v>37</v>
      </c>
      <c r="E17" s="29">
        <v>205</v>
      </c>
      <c r="F17" s="23">
        <f t="shared" si="0"/>
        <v>1.5073529411764706E-2</v>
      </c>
      <c r="G17" s="28">
        <v>114.4</v>
      </c>
      <c r="H17" s="23">
        <f t="shared" si="1"/>
        <v>3.7331592932730411E-2</v>
      </c>
      <c r="I17" s="23">
        <f t="shared" si="2"/>
        <v>5.2405122344495118E-2</v>
      </c>
      <c r="J17" s="24">
        <f t="shared" si="3"/>
        <v>8.0703888410522477</v>
      </c>
      <c r="K17" s="25">
        <f t="shared" si="4"/>
        <v>22057.583260921951</v>
      </c>
      <c r="L17" s="29"/>
      <c r="M17" s="26">
        <f t="shared" si="5"/>
        <v>5.0245098039215688E-2</v>
      </c>
      <c r="N17" s="27">
        <f t="shared" si="6"/>
        <v>21148.418014705883</v>
      </c>
      <c r="O17" s="27">
        <f t="shared" si="7"/>
        <v>909.16524621606732</v>
      </c>
      <c r="P17" s="27" t="str">
        <f t="shared" si="8"/>
        <v xml:space="preserve"> </v>
      </c>
      <c r="T17" s="19" t="str">
        <f t="shared" si="9"/>
        <v xml:space="preserve"> </v>
      </c>
      <c r="U17" t="str">
        <f t="shared" si="10"/>
        <v>Bús Endre</v>
      </c>
      <c r="V17" t="str">
        <f t="shared" si="11"/>
        <v>5.</v>
      </c>
      <c r="W17" t="str">
        <f t="shared" si="12"/>
        <v>3.</v>
      </c>
      <c r="X17" t="str">
        <f t="shared" si="13"/>
        <v>8.</v>
      </c>
    </row>
    <row r="18" spans="1:24" x14ac:dyDescent="0.25">
      <c r="A18" t="s">
        <v>26</v>
      </c>
      <c r="B18" s="20" t="s">
        <v>14</v>
      </c>
      <c r="C18" s="20" t="s">
        <v>15</v>
      </c>
      <c r="D18" s="20" t="s">
        <v>38</v>
      </c>
      <c r="E18" s="22">
        <v>135</v>
      </c>
      <c r="F18" s="23">
        <f t="shared" si="0"/>
        <v>9.9264705882352935E-3</v>
      </c>
      <c r="G18" s="20">
        <v>47.8</v>
      </c>
      <c r="H18" s="23">
        <f t="shared" si="1"/>
        <v>1.5598340403710781E-2</v>
      </c>
      <c r="I18" s="23">
        <f t="shared" si="2"/>
        <v>2.5524810991946076E-2</v>
      </c>
      <c r="J18" s="24">
        <f t="shared" si="3"/>
        <v>3.9308208927596957</v>
      </c>
      <c r="K18" s="25">
        <f t="shared" si="4"/>
        <v>10743.523123046163</v>
      </c>
      <c r="L18" s="22"/>
      <c r="M18" s="26">
        <f t="shared" si="5"/>
        <v>3.3088235294117647E-2</v>
      </c>
      <c r="N18" s="27">
        <f t="shared" si="6"/>
        <v>13927.006985294118</v>
      </c>
      <c r="O18" s="27" t="str">
        <f t="shared" si="7"/>
        <v xml:space="preserve"> </v>
      </c>
      <c r="P18" s="27">
        <f t="shared" si="8"/>
        <v>3183.4838622479547</v>
      </c>
      <c r="T18" s="19">
        <f t="shared" si="9"/>
        <v>3183.4838622479547</v>
      </c>
      <c r="U18" t="str">
        <f t="shared" si="10"/>
        <v>Gombosné Wieser Rita</v>
      </c>
      <c r="V18" t="str">
        <f t="shared" si="11"/>
        <v>7.</v>
      </c>
      <c r="W18" t="str">
        <f t="shared" si="12"/>
        <v>fszt.</v>
      </c>
      <c r="X18" t="str">
        <f t="shared" si="13"/>
        <v>1.</v>
      </c>
    </row>
    <row r="19" spans="1:24" x14ac:dyDescent="0.25">
      <c r="A19" s="5" t="s">
        <v>26</v>
      </c>
      <c r="B19" s="28" t="s">
        <v>14</v>
      </c>
      <c r="C19" s="28" t="s">
        <v>17</v>
      </c>
      <c r="D19" s="28" t="s">
        <v>39</v>
      </c>
      <c r="E19" s="29">
        <v>205</v>
      </c>
      <c r="F19" s="23">
        <f t="shared" si="0"/>
        <v>1.5073529411764706E-2</v>
      </c>
      <c r="G19" s="28">
        <v>121.7</v>
      </c>
      <c r="H19" s="23">
        <f t="shared" si="1"/>
        <v>3.9713766257983313E-2</v>
      </c>
      <c r="I19" s="23">
        <f t="shared" si="2"/>
        <v>5.4787295669748021E-2</v>
      </c>
      <c r="J19" s="24">
        <f t="shared" si="3"/>
        <v>8.4372435331411957</v>
      </c>
      <c r="K19" s="25">
        <f t="shared" si="4"/>
        <v>23060.252162604858</v>
      </c>
      <c r="L19" s="29"/>
      <c r="M19" s="26">
        <f t="shared" si="5"/>
        <v>5.0245098039215688E-2</v>
      </c>
      <c r="N19" s="27">
        <f t="shared" si="6"/>
        <v>21148.418014705883</v>
      </c>
      <c r="O19" s="27">
        <f t="shared" si="7"/>
        <v>1911.8341478989751</v>
      </c>
      <c r="P19" s="27" t="str">
        <f t="shared" si="8"/>
        <v xml:space="preserve"> </v>
      </c>
      <c r="T19" s="19" t="str">
        <f t="shared" si="9"/>
        <v xml:space="preserve"> </v>
      </c>
      <c r="U19" t="str">
        <f t="shared" si="10"/>
        <v>Szabó Franciska</v>
      </c>
      <c r="V19" t="str">
        <f t="shared" si="11"/>
        <v>7.</v>
      </c>
      <c r="W19" t="str">
        <f t="shared" si="12"/>
        <v>fszt.</v>
      </c>
      <c r="X19" t="str">
        <f t="shared" si="13"/>
        <v>2.</v>
      </c>
    </row>
    <row r="20" spans="1:24" x14ac:dyDescent="0.25">
      <c r="A20" t="s">
        <v>26</v>
      </c>
      <c r="B20" s="20" t="s">
        <v>15</v>
      </c>
      <c r="C20" s="20" t="s">
        <v>13</v>
      </c>
      <c r="D20" s="20" t="s">
        <v>40</v>
      </c>
      <c r="E20" s="22">
        <v>135</v>
      </c>
      <c r="F20" s="23">
        <f t="shared" si="0"/>
        <v>9.9264705882352935E-3</v>
      </c>
      <c r="G20" s="20">
        <v>74.400000000000006</v>
      </c>
      <c r="H20" s="23">
        <f t="shared" si="1"/>
        <v>2.4278588410796702E-2</v>
      </c>
      <c r="I20" s="23">
        <f t="shared" si="2"/>
        <v>3.4205058999031993E-2</v>
      </c>
      <c r="J20" s="24">
        <f t="shared" si="3"/>
        <v>5.2675790858509268</v>
      </c>
      <c r="K20" s="25">
        <f t="shared" si="4"/>
        <v>14397.083778493461</v>
      </c>
      <c r="L20" s="22"/>
      <c r="M20" s="26">
        <f t="shared" si="5"/>
        <v>3.3088235294117647E-2</v>
      </c>
      <c r="N20" s="27">
        <f t="shared" si="6"/>
        <v>13927.006985294118</v>
      </c>
      <c r="O20" s="27">
        <f t="shared" si="7"/>
        <v>470.07679319934323</v>
      </c>
      <c r="P20" s="27" t="str">
        <f t="shared" si="8"/>
        <v xml:space="preserve"> </v>
      </c>
      <c r="T20" s="19" t="str">
        <f t="shared" si="9"/>
        <v xml:space="preserve"> </v>
      </c>
      <c r="U20" t="str">
        <f t="shared" si="10"/>
        <v>Tóth József</v>
      </c>
      <c r="V20" t="str">
        <f t="shared" si="11"/>
        <v>7.</v>
      </c>
      <c r="W20" t="str">
        <f t="shared" si="12"/>
        <v>1.</v>
      </c>
      <c r="X20" t="str">
        <f t="shared" si="13"/>
        <v>3.</v>
      </c>
    </row>
    <row r="21" spans="1:24" x14ac:dyDescent="0.25">
      <c r="A21" s="5" t="s">
        <v>26</v>
      </c>
      <c r="B21" s="28" t="s">
        <v>15</v>
      </c>
      <c r="C21" s="28" t="s">
        <v>20</v>
      </c>
      <c r="D21" s="28" t="s">
        <v>41</v>
      </c>
      <c r="E21" s="29">
        <v>205</v>
      </c>
      <c r="F21" s="23">
        <f t="shared" si="0"/>
        <v>1.5073529411764706E-2</v>
      </c>
      <c r="G21" s="28">
        <v>131.1</v>
      </c>
      <c r="H21" s="23">
        <f t="shared" si="1"/>
        <v>4.2781222320637725E-2</v>
      </c>
      <c r="I21" s="23">
        <f t="shared" si="2"/>
        <v>5.7854751732402433E-2</v>
      </c>
      <c r="J21" s="24">
        <f t="shared" si="3"/>
        <v>8.9096317667899747</v>
      </c>
      <c r="K21" s="25">
        <f t="shared" si="4"/>
        <v>24351.360063402019</v>
      </c>
      <c r="L21" s="29"/>
      <c r="M21" s="26">
        <f t="shared" si="5"/>
        <v>5.0245098039215688E-2</v>
      </c>
      <c r="N21" s="27">
        <f t="shared" si="6"/>
        <v>21148.418014705883</v>
      </c>
      <c r="O21" s="27">
        <f t="shared" si="7"/>
        <v>3202.9420486961353</v>
      </c>
      <c r="P21" s="27" t="str">
        <f t="shared" si="8"/>
        <v xml:space="preserve"> </v>
      </c>
      <c r="T21" s="19" t="str">
        <f t="shared" si="9"/>
        <v xml:space="preserve"> </v>
      </c>
      <c r="U21" t="str">
        <f t="shared" si="10"/>
        <v>Ipolyi Janka</v>
      </c>
      <c r="V21" t="str">
        <f t="shared" si="11"/>
        <v>7.</v>
      </c>
      <c r="W21" t="str">
        <f t="shared" si="12"/>
        <v>1.</v>
      </c>
      <c r="X21" t="str">
        <f t="shared" si="13"/>
        <v>4.</v>
      </c>
    </row>
    <row r="22" spans="1:24" x14ac:dyDescent="0.25">
      <c r="A22" t="s">
        <v>26</v>
      </c>
      <c r="B22" s="20" t="s">
        <v>17</v>
      </c>
      <c r="C22" s="20" t="s">
        <v>22</v>
      </c>
      <c r="D22" s="20" t="s">
        <v>42</v>
      </c>
      <c r="E22" s="22">
        <v>135</v>
      </c>
      <c r="F22" s="23">
        <f t="shared" si="0"/>
        <v>9.9264705882352935E-3</v>
      </c>
      <c r="G22" s="20">
        <v>59.8</v>
      </c>
      <c r="H22" s="23">
        <f t="shared" si="1"/>
        <v>1.9514241760290894E-2</v>
      </c>
      <c r="I22" s="23">
        <f t="shared" si="2"/>
        <v>2.9440712348526188E-2</v>
      </c>
      <c r="J22" s="24">
        <f t="shared" si="3"/>
        <v>4.5338697016730327</v>
      </c>
      <c r="K22" s="25">
        <f t="shared" si="4"/>
        <v>12391.745975127649</v>
      </c>
      <c r="L22" s="22"/>
      <c r="M22" s="26">
        <f t="shared" si="5"/>
        <v>3.3088235294117647E-2</v>
      </c>
      <c r="N22" s="27">
        <f t="shared" si="6"/>
        <v>13927.006985294118</v>
      </c>
      <c r="O22" s="27" t="str">
        <f t="shared" si="7"/>
        <v xml:space="preserve"> </v>
      </c>
      <c r="P22" s="27">
        <f t="shared" si="8"/>
        <v>1535.2610101664686</v>
      </c>
      <c r="T22" s="19">
        <f t="shared" si="9"/>
        <v>1535.2610101664686</v>
      </c>
      <c r="U22" t="str">
        <f t="shared" si="10"/>
        <v>Gedei Krisztoferné</v>
      </c>
      <c r="V22" t="str">
        <f t="shared" si="11"/>
        <v>7.</v>
      </c>
      <c r="W22" t="str">
        <f t="shared" si="12"/>
        <v>2.</v>
      </c>
      <c r="X22" t="str">
        <f t="shared" si="13"/>
        <v>5.</v>
      </c>
    </row>
    <row r="23" spans="1:24" x14ac:dyDescent="0.25">
      <c r="A23" s="5" t="s">
        <v>26</v>
      </c>
      <c r="B23" s="28" t="s">
        <v>17</v>
      </c>
      <c r="C23" s="28" t="s">
        <v>24</v>
      </c>
      <c r="D23" s="28" t="s">
        <v>43</v>
      </c>
      <c r="E23" s="29">
        <v>205</v>
      </c>
      <c r="F23" s="23">
        <f t="shared" si="0"/>
        <v>1.5073529411764706E-2</v>
      </c>
      <c r="G23" s="28">
        <v>96.5</v>
      </c>
      <c r="H23" s="23">
        <f t="shared" si="1"/>
        <v>3.1490373409165072E-2</v>
      </c>
      <c r="I23" s="23">
        <f t="shared" si="2"/>
        <v>4.656390282092978E-2</v>
      </c>
      <c r="J23" s="24">
        <f t="shared" si="3"/>
        <v>7.1708410344231863</v>
      </c>
      <c r="K23" s="25">
        <f t="shared" si="4"/>
        <v>19598.984173233734</v>
      </c>
      <c r="L23" s="29"/>
      <c r="M23" s="26">
        <f t="shared" si="5"/>
        <v>5.0245098039215688E-2</v>
      </c>
      <c r="N23" s="27">
        <f t="shared" si="6"/>
        <v>21148.418014705883</v>
      </c>
      <c r="O23" s="27" t="str">
        <f t="shared" si="7"/>
        <v xml:space="preserve"> </v>
      </c>
      <c r="P23" s="27">
        <f t="shared" si="8"/>
        <v>1549.4338414721497</v>
      </c>
      <c r="T23" s="19">
        <f t="shared" si="9"/>
        <v>1549.4338414721497</v>
      </c>
      <c r="U23" t="str">
        <f t="shared" si="10"/>
        <v>Holstein Dénes László</v>
      </c>
      <c r="V23" t="str">
        <f t="shared" si="11"/>
        <v>7.</v>
      </c>
      <c r="W23" t="str">
        <f t="shared" si="12"/>
        <v>2.</v>
      </c>
      <c r="X23" t="str">
        <f t="shared" si="13"/>
        <v>6.</v>
      </c>
    </row>
    <row r="24" spans="1:24" x14ac:dyDescent="0.25">
      <c r="A24" t="s">
        <v>26</v>
      </c>
      <c r="B24" s="20" t="s">
        <v>13</v>
      </c>
      <c r="C24" s="20" t="s">
        <v>26</v>
      </c>
      <c r="D24" s="20" t="s">
        <v>44</v>
      </c>
      <c r="E24" s="22">
        <v>135</v>
      </c>
      <c r="F24" s="23">
        <f t="shared" si="0"/>
        <v>9.9264705882352935E-3</v>
      </c>
      <c r="G24" s="20">
        <v>67.7</v>
      </c>
      <c r="H24" s="23">
        <f t="shared" si="1"/>
        <v>2.2092210153372802E-2</v>
      </c>
      <c r="I24" s="23">
        <f t="shared" si="2"/>
        <v>3.2018680741608095E-2</v>
      </c>
      <c r="J24" s="24">
        <f t="shared" si="3"/>
        <v>4.9308768342076466</v>
      </c>
      <c r="K24" s="25">
        <f t="shared" si="4"/>
        <v>13476.82601941463</v>
      </c>
      <c r="L24" s="22"/>
      <c r="M24" s="26">
        <f t="shared" si="5"/>
        <v>3.3088235294117647E-2</v>
      </c>
      <c r="N24" s="27">
        <f t="shared" si="6"/>
        <v>13927.006985294118</v>
      </c>
      <c r="O24" s="27" t="str">
        <f t="shared" si="7"/>
        <v xml:space="preserve"> </v>
      </c>
      <c r="P24" s="27">
        <f t="shared" si="8"/>
        <v>450.18096587948821</v>
      </c>
      <c r="T24" s="19">
        <f t="shared" si="9"/>
        <v>450.18096587948821</v>
      </c>
      <c r="U24" t="str">
        <f t="shared" si="10"/>
        <v>Belicovics Magdaléna</v>
      </c>
      <c r="V24" t="str">
        <f t="shared" si="11"/>
        <v>7.</v>
      </c>
      <c r="W24" t="str">
        <f t="shared" si="12"/>
        <v>3.</v>
      </c>
      <c r="X24" t="str">
        <f t="shared" si="13"/>
        <v>7.</v>
      </c>
    </row>
    <row r="25" spans="1:24" x14ac:dyDescent="0.25">
      <c r="A25" s="5" t="s">
        <v>26</v>
      </c>
      <c r="B25" s="28" t="s">
        <v>13</v>
      </c>
      <c r="C25" s="28" t="s">
        <v>28</v>
      </c>
      <c r="D25" s="28" t="s">
        <v>45</v>
      </c>
      <c r="E25" s="30">
        <v>205</v>
      </c>
      <c r="F25" s="23">
        <f t="shared" si="0"/>
        <v>1.5073529411764706E-2</v>
      </c>
      <c r="G25" s="31">
        <v>97.1</v>
      </c>
      <c r="H25" s="23">
        <f t="shared" si="1"/>
        <v>3.1686168476994077E-2</v>
      </c>
      <c r="I25" s="23">
        <f t="shared" si="2"/>
        <v>4.6759697888758785E-2</v>
      </c>
      <c r="J25" s="24">
        <f t="shared" si="3"/>
        <v>7.2009934748688531</v>
      </c>
      <c r="K25" s="25">
        <f>J25*$D$31</f>
        <v>19681.395315837806</v>
      </c>
      <c r="L25" s="30"/>
      <c r="M25" s="26">
        <f t="shared" si="5"/>
        <v>5.0245098039215688E-2</v>
      </c>
      <c r="N25" s="27">
        <f t="shared" si="6"/>
        <v>21148.418014705883</v>
      </c>
      <c r="O25" s="27" t="str">
        <f t="shared" si="7"/>
        <v xml:space="preserve"> </v>
      </c>
      <c r="P25" s="27">
        <f t="shared" si="8"/>
        <v>1467.022698868077</v>
      </c>
      <c r="T25" s="19">
        <f t="shared" si="9"/>
        <v>1467.022698868077</v>
      </c>
      <c r="U25" t="str">
        <f t="shared" si="10"/>
        <v>Mihálfy Sándor</v>
      </c>
      <c r="V25" t="str">
        <f t="shared" si="11"/>
        <v>7.</v>
      </c>
      <c r="W25" t="str">
        <f t="shared" si="12"/>
        <v>3.</v>
      </c>
      <c r="X25" t="str">
        <f t="shared" si="13"/>
        <v>8.</v>
      </c>
    </row>
    <row r="26" spans="1:24" x14ac:dyDescent="0.25">
      <c r="B26" s="20"/>
      <c r="C26" s="20"/>
      <c r="D26" s="20"/>
      <c r="E26" s="32">
        <f>SUM(E2:E25)</f>
        <v>4080</v>
      </c>
      <c r="F26" s="37">
        <f t="shared" ref="F26:N26" si="14">SUM(F2:F25)</f>
        <v>0.3</v>
      </c>
      <c r="G26" s="38">
        <f t="shared" si="14"/>
        <v>2145.1</v>
      </c>
      <c r="H26" s="39">
        <f t="shared" si="14"/>
        <v>0.70000000000000007</v>
      </c>
      <c r="I26" s="36">
        <f t="shared" si="14"/>
        <v>0.99999999999999989</v>
      </c>
      <c r="J26" s="34">
        <f>SUM(J2:J25)</f>
        <v>154.00000000000003</v>
      </c>
      <c r="K26" s="40">
        <f t="shared" si="14"/>
        <v>420905.10000000009</v>
      </c>
      <c r="L26" s="33"/>
      <c r="M26" s="41">
        <f t="shared" si="14"/>
        <v>1.0000000000000002</v>
      </c>
      <c r="N26" s="35">
        <f t="shared" si="14"/>
        <v>420905.09999999992</v>
      </c>
      <c r="O26" s="20"/>
      <c r="P26" s="20"/>
    </row>
    <row r="28" spans="1:24" x14ac:dyDescent="0.25">
      <c r="D28" s="6" t="s">
        <v>46</v>
      </c>
    </row>
    <row r="29" spans="1:24" x14ac:dyDescent="0.25">
      <c r="D29" s="7">
        <v>154</v>
      </c>
    </row>
    <row r="30" spans="1:24" x14ac:dyDescent="0.25">
      <c r="D30" s="8" t="s">
        <v>47</v>
      </c>
    </row>
    <row r="31" spans="1:24" x14ac:dyDescent="0.25">
      <c r="D31" s="9">
        <v>2733.15</v>
      </c>
    </row>
    <row r="32" spans="1:24" hidden="1" x14ac:dyDescent="0.25"/>
    <row r="33" spans="1:4" x14ac:dyDescent="0.25">
      <c r="A33" s="43" t="s">
        <v>48</v>
      </c>
      <c r="B33" s="44"/>
      <c r="C33" s="44"/>
      <c r="D33" s="45"/>
    </row>
    <row r="34" spans="1:4" x14ac:dyDescent="0.25">
      <c r="A34" s="42">
        <f>E2/50*100</f>
        <v>270</v>
      </c>
    </row>
    <row r="35" spans="1:4" x14ac:dyDescent="0.25">
      <c r="A35" s="43" t="s">
        <v>49</v>
      </c>
      <c r="B35" s="44"/>
      <c r="C35" s="44"/>
      <c r="D35" s="45"/>
    </row>
    <row r="36" spans="1:4" x14ac:dyDescent="0.25">
      <c r="A36" s="11">
        <f>COUNTIFS(P2:P25,"&gt;0")</f>
        <v>13</v>
      </c>
    </row>
    <row r="37" spans="1:4" x14ac:dyDescent="0.25">
      <c r="A37" s="43" t="s">
        <v>50</v>
      </c>
      <c r="B37" s="44"/>
      <c r="C37" s="44"/>
      <c r="D37" s="45"/>
    </row>
    <row r="38" spans="1:4" x14ac:dyDescent="0.25">
      <c r="A38" s="11" t="str">
        <f>VLOOKUP(S4,T2:U25,2,FALSE)</f>
        <v>Jávor Eliza</v>
      </c>
    </row>
    <row r="39" spans="1:4" x14ac:dyDescent="0.25">
      <c r="A39" s="43" t="s">
        <v>51</v>
      </c>
      <c r="B39" s="44"/>
      <c r="C39" s="44"/>
      <c r="D39" s="45"/>
    </row>
    <row r="40" spans="1:4" x14ac:dyDescent="0.25">
      <c r="A40" s="11" t="str">
        <f>CONCATENATE("A Sárvár utca ",Y2," ",Y4," ",Y5," alatti ",Y7," négyzetméteres lakásban.")</f>
        <v>A Sárvár utca 5. fszt. 1. alatti 50 négyzetméteres lakásban.</v>
      </c>
    </row>
  </sheetData>
  <mergeCells count="4">
    <mergeCell ref="A33:D33"/>
    <mergeCell ref="A35:D35"/>
    <mergeCell ref="A37:D37"/>
    <mergeCell ref="A39:D39"/>
  </mergeCells>
  <phoneticPr fontId="18" type="noConversion"/>
  <conditionalFormatting sqref="A2:B25">
    <cfRule type="expression" dxfId="1" priority="2" stopIfTrue="1">
      <formula>MAREDÉK(ROW(),2)=0</formula>
    </cfRule>
  </conditionalFormatting>
  <conditionalFormatting sqref="A2:P25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Imre Bence</dc:creator>
  <cp:lastModifiedBy>Szabó Imre Bence</cp:lastModifiedBy>
  <dcterms:created xsi:type="dcterms:W3CDTF">2023-10-06T20:42:56Z</dcterms:created>
  <dcterms:modified xsi:type="dcterms:W3CDTF">2023-10-08T02:32:19Z</dcterms:modified>
</cp:coreProperties>
</file>